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ianac\Documents\Marianac\3. Préstamos\2019\4. PE-L1247\4. LP\"/>
    </mc:Choice>
  </mc:AlternateContent>
  <xr:revisionPtr revIDLastSave="0" documentId="102_{E6716F7C-010F-4D26-A516-289D047806BE}" xr6:coauthVersionLast="43" xr6:coauthVersionMax="43" xr10:uidLastSave="{00000000-0000-0000-0000-000000000000}"/>
  <bookViews>
    <workbookView xWindow="-108" yWindow="-108" windowWidth="23256" windowHeight="12576" firstSheet="3" activeTab="3" xr2:uid="{00000000-000D-0000-FFFF-FFFF00000000}"/>
  </bookViews>
  <sheets>
    <sheet name="1. Detailed Budget POA" sheetId="42" state="hidden" r:id="rId1"/>
    <sheet name="Prices" sheetId="58" r:id="rId2"/>
    <sheet name="Sheet1" sheetId="60" r:id="rId3"/>
    <sheet name="1. Detailed Budget POA (2)" sheetId="59" r:id="rId4"/>
    <sheet name="2. Pluriannual Plan PEP" sheetId="43" r:id="rId5"/>
    <sheet name="3. Budget by components" sheetId="44" r:id="rId6"/>
    <sheet name="4. PA_Plan de Adquisiciones" sheetId="56" r:id="rId7"/>
    <sheet name="4. PA_Detalle PA" sheetId="57" r:id="rId8"/>
    <sheet name="4. Procurement Plan" sheetId="48" state="hidden" r:id="rId9"/>
    <sheet name="CU_Inv" sheetId="24" state="hidden" r:id="rId10"/>
    <sheet name="Resultados" sheetId="13" state="hidden" r:id="rId11"/>
    <sheet name="Resumen Inv" sheetId="26" state="hidden" r:id="rId12"/>
    <sheet name="Resumen Inv (PIP)" sheetId="49" state="hidden" r:id="rId13"/>
    <sheet name="Inversion formato" sheetId="23" state="hidden" r:id="rId14"/>
    <sheet name="Resumen OyM" sheetId="27" state="hidden" r:id="rId15"/>
    <sheet name="Resumen OyM (PIP)" sheetId="53" state="hidden" r:id="rId16"/>
    <sheet name="Resumen Costo" sheetId="29" state="hidden" r:id="rId17"/>
    <sheet name="Resumen Beneficios" sheetId="36" state="hidden" r:id="rId18"/>
    <sheet name="Resumen BN" sheetId="37" state="hidden" r:id="rId19"/>
    <sheet name="Caso base" sheetId="28" state="hidden" r:id="rId20"/>
    <sheet name="Caso base (PP)" sheetId="52" state="hidden" r:id="rId21"/>
    <sheet name="Caso base (PS)" sheetId="51" state="hidden" r:id="rId22"/>
    <sheet name="Sensibilidad" sheetId="34" state="hidden" r:id="rId23"/>
    <sheet name="Ranking sensibilidad" sheetId="35" state="hidden" r:id="rId24"/>
    <sheet name="AR" sheetId="33" state="hidden" r:id="rId25"/>
    <sheet name="Programación" sheetId="25" state="hidden" r:id="rId26"/>
    <sheet name="Programación (PIP)" sheetId="54" state="hidden" r:id="rId27"/>
    <sheet name="ML" sheetId="31" state="hidden" r:id="rId28"/>
    <sheet name="Uso de medios" sheetId="1" state="hidden" r:id="rId29"/>
    <sheet name="Detalle Equipamiento y software" sheetId="45" state="hidden" r:id="rId30"/>
    <sheet name="Detalle de costos" sheetId="47" state="hidden" r:id="rId31"/>
    <sheet name="Inidicadores" sheetId="55" state="hidden" r:id="rId32"/>
  </sheets>
  <externalReferences>
    <externalReference r:id="rId33"/>
    <externalReference r:id="rId34"/>
    <externalReference r:id="rId35"/>
    <externalReference r:id="rId36"/>
  </externalReferences>
  <definedNames>
    <definedName name="__123Graph_A" hidden="1">[1]ConexDesa!$R$11:$R$40</definedName>
    <definedName name="__123Graph_AGraph1" hidden="1">[1]Poblacion!$C$27:$F$27</definedName>
    <definedName name="__123Graph_AGraph10" hidden="1">[1]ConduCruda!$O$11:$O$41</definedName>
    <definedName name="__123Graph_AGraph11" hidden="1">[1]Tratamiento!$T$11:$T$40</definedName>
    <definedName name="__123Graph_AGraph12" hidden="1">[1]ConduTratada!$O$12:$O$41</definedName>
    <definedName name="__123Graph_AGraph13" hidden="1">[1]Almacena!$O$14:$O$43</definedName>
    <definedName name="__123Graph_AGraph14" hidden="1">[1]ConexDomici!$S$11:$S$40</definedName>
    <definedName name="__123Graph_AGraph15" hidden="1">[1]PMedidores!$S$11:$S$40</definedName>
    <definedName name="__123Graph_AGraph16" hidden="1">'[1]Trat.AguasServ.'!$X$12:$X$41</definedName>
    <definedName name="__123Graph_AGraph17" hidden="1">[1]Emisores!$V$10:$V$39</definedName>
    <definedName name="__123Graph_AGraph18" hidden="1">[1]ConexDesa!$R$11:$R$40</definedName>
    <definedName name="__123Graph_AGraph2" hidden="1">[1]Poblacion!$C$85:$F$85</definedName>
    <definedName name="__123Graph_AGraph3" hidden="1">[1]Poblacion!$B$148:$E$148</definedName>
    <definedName name="__123Graph_AGraph4" hidden="1">[1]Poblacion!$B$200:$B$232</definedName>
    <definedName name="__123Graph_AGraph5" hidden="1">'[1]Demanda Activa Agua'!$X$14:$X$44</definedName>
    <definedName name="__123Graph_AGraph6" hidden="1">'[1]Demanda Pasiva agua'!$X$14:$X$44</definedName>
    <definedName name="__123Graph_AGraph8" hidden="1">[1]Captacion!$S$10:$S$39</definedName>
    <definedName name="__123Graph_AGraph9" hidden="1">[1]PreTratamiento!$O$12:$O$42</definedName>
    <definedName name="__123Graph_B" hidden="1">[1]ConexDesa!$S$11:$S$40</definedName>
    <definedName name="__123Graph_BGraph1" hidden="1">[1]Poblacion!$C$28:$F$28</definedName>
    <definedName name="__123Graph_BGraph10" hidden="1">[1]ConduCruda!$P$11:$P$41</definedName>
    <definedName name="__123Graph_BGraph11" hidden="1">[1]Tratamiento!$U$11:$U$40</definedName>
    <definedName name="__123Graph_BGraph12" hidden="1">[1]ConduTratada!$P$12:$P$41</definedName>
    <definedName name="__123Graph_BGraph13" hidden="1">[1]Almacena!$P$14:$P$43</definedName>
    <definedName name="__123Graph_BGraph14" hidden="1">[1]ConexDomici!$T$11:$T$40</definedName>
    <definedName name="__123Graph_BGraph15" hidden="1">[1]PMedidores!$T$11:$T$40</definedName>
    <definedName name="__123Graph_BGraph16" hidden="1">'[1]Trat.AguasServ.'!$Y$12:$Y$41</definedName>
    <definedName name="__123Graph_BGraph17" hidden="1">[1]Emisores!$W$10:$W$39</definedName>
    <definedName name="__123Graph_BGraph18" hidden="1">[1]ConexDesa!$S$11:$S$40</definedName>
    <definedName name="__123Graph_BGraph2" hidden="1">[1]Poblacion!$C$86:$F$86</definedName>
    <definedName name="__123Graph_BGraph3" hidden="1">[1]Poblacion!$B$149:$E$149</definedName>
    <definedName name="__123Graph_BGraph4" hidden="1">[1]Poblacion!$C$200:$C$232</definedName>
    <definedName name="__123Graph_BGraph5" hidden="1">'[1]Demanda Activa Agua'!$W$14:$W$44</definedName>
    <definedName name="__123Graph_BGraph6" hidden="1">'[1]Demanda Pasiva agua'!$W$14:$W$44</definedName>
    <definedName name="__123Graph_BGraph8" hidden="1">[1]Captacion!$T$10:$T$39</definedName>
    <definedName name="__123Graph_BGraph9" hidden="1">[1]PreTratamiento!$P$12:$P$42</definedName>
    <definedName name="__123Graph_CGraph1" hidden="1">[1]Poblacion!$C$29:$F$29</definedName>
    <definedName name="__123Graph_CGraph2" hidden="1">[1]Poblacion!$C$87:$F$87</definedName>
    <definedName name="__123Graph_CGraph3" hidden="1">[1]Poblacion!$B$150:$E$150</definedName>
    <definedName name="__123Graph_CGraph4" hidden="1">[1]Poblacion!$D$200:$D$232</definedName>
    <definedName name="__123Graph_DGraph1" hidden="1">[1]Poblacion!$C$30:$F$30</definedName>
    <definedName name="__123Graph_DGraph2" hidden="1">[1]Poblacion!$C$88:$F$88</definedName>
    <definedName name="__123Graph_DGraph3" hidden="1">[1]Poblacion!$B$151:$E$151</definedName>
    <definedName name="__123Graph_DGraph4" hidden="1">[1]Poblacion!$E$200:$E$232</definedName>
    <definedName name="__123Graph_EGraph1" hidden="1">[1]Poblacion!$C$31:$F$31</definedName>
    <definedName name="__123Graph_EGraph2" hidden="1">[1]Poblacion!$C$89:$F$89</definedName>
    <definedName name="__123Graph_EGraph3" hidden="1">[1]Poblacion!$B$152:$E$152</definedName>
    <definedName name="__123Graph_EGraph4" hidden="1">[1]Poblacion!$F$200:$F$232</definedName>
    <definedName name="__123Graph_FGraph1" hidden="1">[1]Poblacion!$C$32:$F$32</definedName>
    <definedName name="__123Graph_FGraph2" hidden="1">[1]Poblacion!$C$90:$F$90</definedName>
    <definedName name="__123Graph_FGraph3" hidden="1">[1]Poblacion!$B$153:$E$153</definedName>
    <definedName name="__123Graph_X" hidden="1">[1]ConexDesa!$Q$11:$Q$40</definedName>
    <definedName name="__123Graph_XGraph2" hidden="1">[1]Poblacion!$C$84:$F$84</definedName>
    <definedName name="__123Graph_XGraph3" hidden="1">[1]Poblacion!$B$147:$E$147</definedName>
    <definedName name="__123Graph_XGraph4" hidden="1">[1]Poblacion!$A$200:$A$232</definedName>
    <definedName name="_CAP1">CU_Inv!$K$17</definedName>
    <definedName name="_CIN1">CU_Inv!$K$11</definedName>
    <definedName name="_CNC1">CU_Inv!$K$7</definedName>
    <definedName name="_CNJ1">CU_Inv!$K$10</definedName>
    <definedName name="_CNN1">CU_Inv!$K$9</definedName>
    <definedName name="_CNS1">CU_Inv!$K$8</definedName>
    <definedName name="_DXP1">CU_Inv!$K$24</definedName>
    <definedName name="_EIN01">CU_Inv!$K$52</definedName>
    <definedName name="_EIN02">CU_Inv!$K$53</definedName>
    <definedName name="_ENT1">CU_Inv!$K$18</definedName>
    <definedName name="_ESP1">CU_Inv!$K$19</definedName>
    <definedName name="_FSA1">CU_Inv!$K$14</definedName>
    <definedName name="_FSI1">CU_Inv!$K$15</definedName>
    <definedName name="_FSI2">CU_Inv!$K$16</definedName>
    <definedName name="_ftn1" localSheetId="30">'Detalle de costos'!#REF!</definedName>
    <definedName name="_ftn2" localSheetId="30">'Detalle de costos'!#REF!</definedName>
    <definedName name="_ftn3" localSheetId="30">'Detalle de costos'!#REF!</definedName>
    <definedName name="_ftnref1" localSheetId="30">'Detalle de costos'!#REF!</definedName>
    <definedName name="_ftnref2" localSheetId="30">'Detalle de costos'!#REF!</definedName>
    <definedName name="_ftnref3" localSheetId="30">'Detalle de costos'!#REF!</definedName>
    <definedName name="_Inv1">#REF!</definedName>
    <definedName name="_Inv2">#REF!</definedName>
    <definedName name="_Inv3">#REF!</definedName>
    <definedName name="_Inv4">#REF!</definedName>
    <definedName name="_Inv5">#REF!</definedName>
    <definedName name="_Inv6">#REF!</definedName>
    <definedName name="_Inv7">#REF!</definedName>
    <definedName name="_Inv8">#REF!</definedName>
    <definedName name="_Order1" hidden="1">255</definedName>
    <definedName name="_Order2" hidden="1">255</definedName>
    <definedName name="AuditoriaUE">CU_Inv!$K$95</definedName>
    <definedName name="BD1A">CU_Inv!$K$82</definedName>
    <definedName name="BookType">1</definedName>
    <definedName name="BookType2">2</definedName>
    <definedName name="Brecha_UPS_CP">#REF!</definedName>
    <definedName name="Brecha_UPS_SP">#REF!</definedName>
    <definedName name="CostoOpe_SUNAT_CP_Clc">#REF!</definedName>
    <definedName name="CU_PSUNAT">#REF!</definedName>
    <definedName name="CU_UPS_M_V">#REF!</definedName>
    <definedName name="CU_UPS_O_V">#REF!</definedName>
    <definedName name="Curso_IAT">CU_Inv!$K$71</definedName>
    <definedName name="DdaRecauda_Clc">#REF!</definedName>
    <definedName name="DdaRecauda1_Clc">#REF!</definedName>
    <definedName name="DdaRecauda2_Clc">#REF!</definedName>
    <definedName name="Decisions">3</definedName>
    <definedName name="Dist_RH1">#REF!</definedName>
    <definedName name="Dist_RH2">#REF!</definedName>
    <definedName name="Dist_RH3">#REF!</definedName>
    <definedName name="Dist_RH4">#REF!</definedName>
    <definedName name="DSEGRRHH">CU_Inv!$K$22</definedName>
    <definedName name="DTRAZ">CU_Inv!$K$21</definedName>
    <definedName name="ECC">CU_Inv!$K$34</definedName>
    <definedName name="Eficacia">#REF!</definedName>
    <definedName name="Eficacia_SP">#REF!</definedName>
    <definedName name="Eficacia_V">#REF!</definedName>
    <definedName name="EI01A">CU_Inv!$K$50</definedName>
    <definedName name="EI02A">CU_Inv!$K$51</definedName>
    <definedName name="ENI1A">CU_Inv!$K$29</definedName>
    <definedName name="ENI1B">CU_Inv!$K$30</definedName>
    <definedName name="EO01A">CU_Inv!$K$26</definedName>
    <definedName name="EO01B">CU_Inv!$K$28</definedName>
    <definedName name="EO02A">CU_Inv!$K$27</definedName>
    <definedName name="eR_Clc">#REF!</definedName>
    <definedName name="eR_eq_Clc">#REF!</definedName>
    <definedName name="eR_SP_Clc">#REF!</definedName>
    <definedName name="Escenario1" localSheetId="3">#REF!</definedName>
    <definedName name="Escenario1">#REF!</definedName>
    <definedName name="Escenario2" localSheetId="3">#REF!</definedName>
    <definedName name="Escenario2">#REF!</definedName>
    <definedName name="ETRAZ">CU_Inv!$K$31</definedName>
    <definedName name="ETRAZ_X1A">CU_Inv!$K$32</definedName>
    <definedName name="ETRAZ_X2A">CU_Inv!$K$33</definedName>
    <definedName name="Evento_IAT">CU_Inv!$K$74</definedName>
    <definedName name="GPOUE1">CU_Inv!$K$94</definedName>
    <definedName name="HA">10000</definedName>
    <definedName name="Horizonte_D">#REF!</definedName>
    <definedName name="Indexcolum">#REF!</definedName>
    <definedName name="INS01A">CU_Inv!$K$91</definedName>
    <definedName name="INST01A">CU_Inv!$K$87</definedName>
    <definedName name="INST02A">CU_Inv!$K$88</definedName>
    <definedName name="IntenUsoMed_U1_V">'Uso de medios'!$AJ$5:$AJ$15</definedName>
    <definedName name="IntenUsoMed_U2_V">'Uso de medios'!$AJ$16:$AJ$18</definedName>
    <definedName name="Inv_05_Ini_Clc">#REF!</definedName>
    <definedName name="Inv_05_Rep_Clc">#REF!</definedName>
    <definedName name="Inv_06_Ini_Clc">#REF!</definedName>
    <definedName name="Inv_06_Rep_Clc">#REF!</definedName>
    <definedName name="Inv_111_Ini_Clc">#REF!</definedName>
    <definedName name="Inv_111_Rep_Clc">#REF!</definedName>
    <definedName name="Inv_1110_Ini_Clc">#REF!</definedName>
    <definedName name="Inv_1110_Rep_Clc">#REF!</definedName>
    <definedName name="Inv_1111_Ini_Clc">#REF!</definedName>
    <definedName name="Inv_1111_Rep_Clc">#REF!</definedName>
    <definedName name="Inv_1112_Ini_Clc">#REF!</definedName>
    <definedName name="Inv_1112_Rep_Clc">#REF!</definedName>
    <definedName name="Inv_112_Ini_Clc">#REF!</definedName>
    <definedName name="Inv_112_Rep_Clc">#REF!</definedName>
    <definedName name="Inv_113_Ini_Clc">#REF!</definedName>
    <definedName name="Inv_113_Rep_Clc">#REF!</definedName>
    <definedName name="Inv_114_Ini_Clc">#REF!</definedName>
    <definedName name="Inv_114_Rep_Clc">#REF!</definedName>
    <definedName name="Inv_115_Ini_Clc">#REF!</definedName>
    <definedName name="Inv_115_Rep_Clc">#REF!</definedName>
    <definedName name="Inv_116_Ini_Clc">#REF!</definedName>
    <definedName name="Inv_116_Rep_Clc">#REF!</definedName>
    <definedName name="Inv_117_Ini_Clc">#REF!</definedName>
    <definedName name="Inv_117_Rep_Clc">#REF!</definedName>
    <definedName name="Inv_118_Ini_Clc">#REF!</definedName>
    <definedName name="Inv_118_Rep_Clc">#REF!</definedName>
    <definedName name="Inv_119_Ini_Clc">#REF!</definedName>
    <definedName name="Inv_119_Rep_Clc">#REF!</definedName>
    <definedName name="Inv_121_Ini_Clc">#REF!</definedName>
    <definedName name="Inv_121_Rep_Clc">#REF!</definedName>
    <definedName name="Inv_1210_Ini_Clc">#REF!</definedName>
    <definedName name="Inv_1210_Rep_Clc">#REF!</definedName>
    <definedName name="Inv_122_Ini_Clc">#REF!</definedName>
    <definedName name="Inv_122_Rep_Clc">#REF!</definedName>
    <definedName name="Inv_123_Ini_Clc">#REF!</definedName>
    <definedName name="Inv_123_Rep_Clc">#REF!</definedName>
    <definedName name="Inv_124_Ini_Clc">#REF!</definedName>
    <definedName name="Inv_124_Rep_Clc">#REF!</definedName>
    <definedName name="Inv_125_Ini_Clc">#REF!</definedName>
    <definedName name="Inv_125_Rep_Clc">#REF!</definedName>
    <definedName name="Inv_126_Ini_Clc">#REF!</definedName>
    <definedName name="Inv_126_Rep_Clc">#REF!</definedName>
    <definedName name="Inv_127_Ini_Clc">#REF!</definedName>
    <definedName name="Inv_127_Rep_Clc">#REF!</definedName>
    <definedName name="Inv_128_Ini_Clc">#REF!</definedName>
    <definedName name="Inv_128_Rep_Clc">#REF!</definedName>
    <definedName name="Inv_129_Ini_Clc">#REF!</definedName>
    <definedName name="Inv_129_Rep_Clc">#REF!</definedName>
    <definedName name="Inv_131_Ini_Clc">#REF!</definedName>
    <definedName name="Inv_131_Rep_Clc">#REF!</definedName>
    <definedName name="Inv_132_Ini_Clc">#REF!</definedName>
    <definedName name="Inv_132_Rep_Clc">#REF!</definedName>
    <definedName name="Inv_133_Ini_Clc">#REF!</definedName>
    <definedName name="Inv_133_Rep_Clc">#REF!</definedName>
    <definedName name="Inv_134_Ini_Clc">#REF!</definedName>
    <definedName name="Inv_134_Rep_Clc">#REF!</definedName>
    <definedName name="Inv_135_Ini_Clc">#REF!</definedName>
    <definedName name="Inv_135_Rep_Clc">#REF!</definedName>
    <definedName name="Inv_141_Ini_Clc">#REF!</definedName>
    <definedName name="Inv_141_Rep_Clc">#REF!</definedName>
    <definedName name="Inv_142_Ini_Clc">#REF!</definedName>
    <definedName name="Inv_142_Rep_Clc">#REF!</definedName>
    <definedName name="Inv_143_Ini_Clc">#REF!</definedName>
    <definedName name="Inv_143_Rep_Clc">#REF!</definedName>
    <definedName name="Inv_144_Ini_Clc">#REF!</definedName>
    <definedName name="Inv_144_Rep_Clc">#REF!</definedName>
    <definedName name="Inv_211_Ini_Clc">#REF!</definedName>
    <definedName name="Inv_211_Rep_Clc">#REF!</definedName>
    <definedName name="Inv_212_Ini_Clc">#REF!</definedName>
    <definedName name="Inv_212_Rep_Clc">#REF!</definedName>
    <definedName name="Inv_221_Ini_Clc">#REF!</definedName>
    <definedName name="Inv_221_Rep_Clc">#REF!</definedName>
    <definedName name="Inv_222_Ini_Clc">#REF!</definedName>
    <definedName name="Inv_222_Rep_Clc">#REF!</definedName>
    <definedName name="Inv_223_Ini_Clc">#REF!</definedName>
    <definedName name="Inv_223_Rep_Clc">#REF!</definedName>
    <definedName name="Inv_231_Ini_Clc">#REF!</definedName>
    <definedName name="Inv_231_Rep_Clc">#REF!</definedName>
    <definedName name="Inv_232_Ini_Clc">#REF!</definedName>
    <definedName name="Inv_232_Rep_Clc">#REF!</definedName>
    <definedName name="Inv_233_Ini_Clc">#REF!</definedName>
    <definedName name="Inv_233_Rep_Clc">#REF!</definedName>
    <definedName name="Inv_241_Ini_Clc">#REF!</definedName>
    <definedName name="Inv_241_Rep_Clc">#REF!</definedName>
    <definedName name="Inv_242_Ini_Clc">#REF!</definedName>
    <definedName name="Inv_242_Rep_Clc">#REF!</definedName>
    <definedName name="Inv_311_Ini_Clc">#REF!</definedName>
    <definedName name="Inv_311_Rep_Clc">#REF!</definedName>
    <definedName name="Inv_312_Ini_Clc">#REF!</definedName>
    <definedName name="Inv_312_Rep_Clc">#REF!</definedName>
    <definedName name="Inv_321_Ini_Clc">#REF!</definedName>
    <definedName name="Inv_321_Rep_Clc">#REF!</definedName>
    <definedName name="Inv_322_Ini_Clc">#REF!</definedName>
    <definedName name="Inv_322_Rep_Clc">#REF!</definedName>
    <definedName name="Inv_323_Ini_Clc">#REF!</definedName>
    <definedName name="Inv_323_Rep_Clc">#REF!</definedName>
    <definedName name="Inv_331_Ini_Clc">#REF!</definedName>
    <definedName name="Inv_331_Rep_Clc">#REF!</definedName>
    <definedName name="Inv_332_Ini_Clc">#REF!</definedName>
    <definedName name="Inv_332_Rep_Clc">#REF!</definedName>
    <definedName name="Inv_333_Ini_Clc">#REF!</definedName>
    <definedName name="Inv_333_Rep_Clc">#REF!</definedName>
    <definedName name="Inv_341_Ini_Clc">#REF!</definedName>
    <definedName name="Inv_341_Rep_Clc">#REF!</definedName>
    <definedName name="Inv_342_Ini_Clc">#REF!</definedName>
    <definedName name="Inv_342_Rep_Clc">#REF!</definedName>
    <definedName name="Inv_343_Ini_Clc">#REF!</definedName>
    <definedName name="Inv_343_Rep_Clc">#REF!</definedName>
    <definedName name="Inv_344_Ini_Clc">#REF!</definedName>
    <definedName name="Inv_344_Rep_Clc">#REF!</definedName>
    <definedName name="Inv_351_Ini_Clc">#REF!</definedName>
    <definedName name="Inv_351_Rep_Clc">#REF!</definedName>
    <definedName name="Inv_352_Ini_Clc">#REF!</definedName>
    <definedName name="Inv_352_Rep_Clc">#REF!</definedName>
    <definedName name="Inv_353_Ini_Clc">#REF!</definedName>
    <definedName name="Inv_353_Rep_Clc">#REF!</definedName>
    <definedName name="Inv_354_Ini_Clc">#REF!</definedName>
    <definedName name="Inv_354_Rep_Clc">#REF!</definedName>
    <definedName name="Inv_Ini_Clc">#REF!</definedName>
    <definedName name="Inv_Rep_Clc">#REF!</definedName>
    <definedName name="Inv_total_Clc">#REF!</definedName>
    <definedName name="InvP_Efec">#REF!</definedName>
    <definedName name="InvP_Efec_Clc">#REF!</definedName>
    <definedName name="InvP_IE_Clc">#REF!</definedName>
    <definedName name="InvP_Inc_Clc">#REF!</definedName>
    <definedName name="Licencia1">CU_Inv!$K$81</definedName>
    <definedName name="Mant_F">#REF!</definedName>
    <definedName name="mb_inputLocation" localSheetId="3" hidden="1">[2]Inputs!#REF!</definedName>
    <definedName name="mb_inputLocation" localSheetId="24" hidden="1">[3]Inputs!#REF!</definedName>
    <definedName name="mb_inputLocation" localSheetId="27" hidden="1">[3]Inputs!#REF!</definedName>
    <definedName name="mb_inputLocation" localSheetId="23" hidden="1">[3]Inputs!#REF!</definedName>
    <definedName name="mb_inputLocation" localSheetId="22" hidden="1">[3]Inputs!#REF!</definedName>
    <definedName name="mb_inputLocation" hidden="1">[2]Inputs!#REF!</definedName>
    <definedName name="MBI01A">CU_Inv!$K$86</definedName>
    <definedName name="Mil">1000</definedName>
    <definedName name="Millon">1000000</definedName>
    <definedName name="MO01A">CU_Inv!$K$61</definedName>
    <definedName name="Muestra_Alt">'Inversion formato'!$C$4</definedName>
    <definedName name="Nombre_UPS_V">#REF!</definedName>
    <definedName name="NS_Eq">#REF!</definedName>
    <definedName name="NS_eq_Clc">#REF!</definedName>
    <definedName name="one">1</definedName>
    <definedName name="OyM_05_Clc">#REF!</definedName>
    <definedName name="OyM_06_Clc">#REF!</definedName>
    <definedName name="OyM_111_Clc">#REF!</definedName>
    <definedName name="OyM_1110_Clc">#REF!</definedName>
    <definedName name="OyM_1111_Clc">#REF!</definedName>
    <definedName name="OyM_1112_Clc">#REF!</definedName>
    <definedName name="OyM_112_Clc">#REF!</definedName>
    <definedName name="OyM_113_Clc">#REF!</definedName>
    <definedName name="OyM_114_Clc">#REF!</definedName>
    <definedName name="OyM_115_Clc">#REF!</definedName>
    <definedName name="OyM_116_Clc">#REF!</definedName>
    <definedName name="OyM_117_Clc">#REF!</definedName>
    <definedName name="OyM_118_Clc">#REF!</definedName>
    <definedName name="OyM_119_Clc">#REF!</definedName>
    <definedName name="OyM_121_Clc">#REF!</definedName>
    <definedName name="OyM_1210_Clc">#REF!</definedName>
    <definedName name="OyM_122_Clc">#REF!</definedName>
    <definedName name="OyM_123_Clc">#REF!</definedName>
    <definedName name="OyM_124_Clc">#REF!</definedName>
    <definedName name="OyM_125_Clc">#REF!</definedName>
    <definedName name="OyM_126_Clc">#REF!</definedName>
    <definedName name="OyM_127_Clc">#REF!</definedName>
    <definedName name="OyM_128_Clc">#REF!</definedName>
    <definedName name="OyM_129_Clc">#REF!</definedName>
    <definedName name="OyM_131_Clc">#REF!</definedName>
    <definedName name="OyM_132_Clc">#REF!</definedName>
    <definedName name="OyM_133_Clc">#REF!</definedName>
    <definedName name="OyM_134_Clc">#REF!</definedName>
    <definedName name="OyM_135_Clc">#REF!</definedName>
    <definedName name="OyM_141_Clc">#REF!</definedName>
    <definedName name="OyM_142_Clc">#REF!</definedName>
    <definedName name="OyM_143_Clc">#REF!</definedName>
    <definedName name="OyM_144_Clc">#REF!</definedName>
    <definedName name="OyM_211_Clc">#REF!</definedName>
    <definedName name="OyM_212_Clc">#REF!</definedName>
    <definedName name="OyM_221_Clc">#REF!</definedName>
    <definedName name="OyM_222_Clc">#REF!</definedName>
    <definedName name="OyM_223_Clc">#REF!</definedName>
    <definedName name="OyM_231_Clc">#REF!</definedName>
    <definedName name="OyM_232_Clc">#REF!</definedName>
    <definedName name="OyM_233_Clc">#REF!</definedName>
    <definedName name="OyM_241_Clc">#REF!</definedName>
    <definedName name="OyM_242_Clc">#REF!</definedName>
    <definedName name="OyM_311_Clc">#REF!</definedName>
    <definedName name="OyM_312_Clc">#REF!</definedName>
    <definedName name="OyM_321_Clc">#REF!</definedName>
    <definedName name="OyM_322_Clc">#REF!</definedName>
    <definedName name="OyM_323_Clc">#REF!</definedName>
    <definedName name="OyM_331_Clc">#REF!</definedName>
    <definedName name="OyM_332_Clc">#REF!</definedName>
    <definedName name="OyM_333_Clc">#REF!</definedName>
    <definedName name="OyM_341_Clc">#REF!</definedName>
    <definedName name="OyM_342_Clc">#REF!</definedName>
    <definedName name="OyM_343_Clc">#REF!</definedName>
    <definedName name="OyM_344_Clc">#REF!</definedName>
    <definedName name="OyM_351_Clc">#REF!</definedName>
    <definedName name="OyM_352_Clc">#REF!</definedName>
    <definedName name="OyM_353_Clc">#REF!</definedName>
    <definedName name="OyM_354_Clc">#REF!</definedName>
    <definedName name="OyM_Clc">#REF!</definedName>
    <definedName name="Pasaje1">CU_Inv!$K$76</definedName>
    <definedName name="Pasaje2">CU_Inv!$K$78</definedName>
    <definedName name="Pasantia_IAT">CU_Inv!$K$75</definedName>
    <definedName name="PBI_Clc">#REF!</definedName>
    <definedName name="PBIpc_Clc">#REF!</definedName>
    <definedName name="PBIpc_Ini">#REF!</definedName>
    <definedName name="PBIpc_max">#REF!</definedName>
    <definedName name="PBIpc_var">#REF!</definedName>
    <definedName name="PEA_Clc">#REF!</definedName>
    <definedName name="Period">#REF!</definedName>
    <definedName name="Personal_x_UPS_V">#REF!</definedName>
    <definedName name="PG_IAT">CU_Inv!$K$73</definedName>
    <definedName name="Pob_Obj_Clc">#REF!</definedName>
    <definedName name="PobObj_ini">#REF!</definedName>
    <definedName name="PobObj_max">#REF!</definedName>
    <definedName name="PobObj_var">#REF!</definedName>
    <definedName name="Posterior">#REF!</definedName>
    <definedName name="PPEA_Clc">#REF!</definedName>
    <definedName name="PPEA_Ini">#REF!</definedName>
    <definedName name="PPEA_max">#REF!</definedName>
    <definedName name="PPEA_RH_Clc">#REF!</definedName>
    <definedName name="PPEA_RH_CP_Clc">#REF!</definedName>
    <definedName name="PPEA_RH_Ini">#REF!</definedName>
    <definedName name="PPEA_RH_Min">#REF!</definedName>
    <definedName name="PPEA_RH_SP_Clc">#REF!</definedName>
    <definedName name="PPEA_RH_Var">#REF!</definedName>
    <definedName name="PPEA_RH_Var_Clc">#REF!</definedName>
    <definedName name="PPEA_RH_Var_CP_Clc">#REF!</definedName>
    <definedName name="PPEA_RH_Var_SP_Clc">#REF!</definedName>
    <definedName name="PPEA_var">#REF!</definedName>
    <definedName name="PR_TI_Clc">#REF!</definedName>
    <definedName name="PR_TI_ini">#REF!</definedName>
    <definedName name="PR_TI_max">#REF!</definedName>
    <definedName name="PR_TI_var">#REF!</definedName>
    <definedName name="Previo">#REF!</definedName>
    <definedName name="PRI_Eq">#REF!</definedName>
    <definedName name="PRI_eq_Clc">#REF!</definedName>
    <definedName name="_xlnm.Print_Area" localSheetId="0">'1. Detailed Budget POA'!$A$1:$Z$119</definedName>
    <definedName name="_xlnm.Print_Area" localSheetId="3">'1. Detailed Budget POA (2)'!$A$1:$X$78</definedName>
    <definedName name="_xlnm.Print_Area" localSheetId="13">'Inversion formato'!$A$4:$H$88</definedName>
    <definedName name="_xlnm.Print_Area" localSheetId="25">Programación!$A$6:$BO$82</definedName>
    <definedName name="_xlnm.Print_Area" localSheetId="26">'Programación (PIP)'!$A$6:$BO$105</definedName>
    <definedName name="_xlnm.Print_Titles" localSheetId="0">'1. Detailed Budget POA'!$5:$7</definedName>
    <definedName name="_xlnm.Print_Titles" localSheetId="3">'1. Detailed Budget POA (2)'!$5:$7</definedName>
    <definedName name="_xlnm.Print_Titles" localSheetId="13">'Inversion formato'!$6:$7</definedName>
    <definedName name="_xlnm.Print_Titles" localSheetId="25">Programación!$6:$7</definedName>
    <definedName name="_xlnm.Print_Titles" localSheetId="26">'Programación (PIP)'!$6:$7</definedName>
    <definedName name="Proy_Impacto">#REF!</definedName>
    <definedName name="Proy_Impacto_Clc">#REF!</definedName>
    <definedName name="RDVers">"2.20A"</definedName>
    <definedName name="Rec_a_InvP">#REF!</definedName>
    <definedName name="Rec_a_InvP_Clc">#REF!</definedName>
    <definedName name="Recauda_Clc">#REF!</definedName>
    <definedName name="Recauda_INC_Clc">#REF!</definedName>
    <definedName name="Recauda_SP_Clc">#REF!</definedName>
    <definedName name="Recauda1_Clc">#REF!</definedName>
    <definedName name="Recauda1_Sp_Clc">#REF!</definedName>
    <definedName name="Recauda2_Clc">#REF!</definedName>
    <definedName name="Recauda2_Sp_Clc">#REF!</definedName>
    <definedName name="RepUsoMed_U1_V">'Uso de medios'!$AE$5:$AE$15</definedName>
    <definedName name="RepUsoMed_U2_V">'Uso de medios'!$AE$16:$AE$18</definedName>
    <definedName name="RH_total_Clc">#REF!</definedName>
    <definedName name="RH_total_CP_Clc">#REF!</definedName>
    <definedName name="RH_total_SP_Clc">#REF!</definedName>
    <definedName name="RH1_Clc">#REF!</definedName>
    <definedName name="RH1_CP_Clc">#REF!</definedName>
    <definedName name="RH1_SP_Clc">#REF!</definedName>
    <definedName name="RH2_Clc">#REF!</definedName>
    <definedName name="RH2_CP_Clc">#REF!</definedName>
    <definedName name="RH2_SP_Clc">#REF!</definedName>
    <definedName name="RH3_Clc">#REF!</definedName>
    <definedName name="RH3_CP_Clc">#REF!</definedName>
    <definedName name="RH3_SP_Clc">#REF!</definedName>
    <definedName name="RH4_Clc">#REF!</definedName>
    <definedName name="RH4_CP_Clc">#REF!</definedName>
    <definedName name="RH4_SP_Clc">#REF!</definedName>
    <definedName name="RiskDet">TRUE</definedName>
    <definedName name="SCMV">CU_Inv!$K$43</definedName>
    <definedName name="SERUE1">CU_Inv!$K$84</definedName>
    <definedName name="SI01A">CU_Inv!$K$65</definedName>
    <definedName name="SI02A">CU_Inv!$K$66</definedName>
    <definedName name="Slibre">CU_Inv!$K$45</definedName>
    <definedName name="ST01A">CU_Inv!$K$67</definedName>
    <definedName name="ST02A">CU_Inv!$K$68</definedName>
    <definedName name="ST02B">CU_Inv!$K$69</definedName>
    <definedName name="ST03A">CU_Inv!$K$70</definedName>
    <definedName name="StartOpe">#REF!</definedName>
    <definedName name="StartOpe_Clc">#REF!</definedName>
    <definedName name="StartYear">#REF!</definedName>
    <definedName name="Strategy" localSheetId="27">[3]Inputs!$H$4</definedName>
    <definedName name="Strategy">#REF!</definedName>
    <definedName name="StrategyChoices">#REF!</definedName>
    <definedName name="StrategyName">#REF!</definedName>
    <definedName name="STRAZ_X2A">CU_Inv!$K$41</definedName>
    <definedName name="STRAZ_Y1A">CU_Inv!$K$36</definedName>
    <definedName name="STRAZ_Y1B">CU_Inv!$K$37</definedName>
    <definedName name="STRAZ_Y2A">CU_Inv!$K$38</definedName>
    <definedName name="STRAZ_Y3A">CU_Inv!$K$39</definedName>
    <definedName name="STRAZ_Y3B">CU_Inv!$K$40</definedName>
    <definedName name="SWebex">CU_Inv!$K$44</definedName>
    <definedName name="Taller_IAT">CU_Inv!$K$72</definedName>
    <definedName name="TC">#REF!</definedName>
    <definedName name="Te">#REF!</definedName>
    <definedName name="temporal">2</definedName>
    <definedName name="Terceriza">'Detalle de costos'!$C$2</definedName>
    <definedName name="Trab_SUNAT_0">#REF!</definedName>
    <definedName name="TRIP">#REF!</definedName>
    <definedName name="TRIP_Clc">#REF!</definedName>
    <definedName name="TSD">#REF!</definedName>
    <definedName name="UPS_0_V">#REF!</definedName>
    <definedName name="UPS_Abrev_V">#REF!</definedName>
    <definedName name="UPS_Ad_0_V">#REF!</definedName>
    <definedName name="UPS_Ad_CP_M">#REF!</definedName>
    <definedName name="UPS_AD_SP_M">#REF!</definedName>
    <definedName name="UPS_Dist_V">#REF!</definedName>
    <definedName name="UPS_Est1_0_M">#REF!</definedName>
    <definedName name="UPS_Est2_0_M">#REF!</definedName>
    <definedName name="UPS_Est3_0_M">#REF!</definedName>
    <definedName name="UPS_Estado_0_M">#REF!</definedName>
    <definedName name="UPS_Fijo_Var_V">#REF!</definedName>
    <definedName name="UPS_Importancia_V">#REF!</definedName>
    <definedName name="UPS_Inc_M">#REF!</definedName>
    <definedName name="UPS_M">#REF!</definedName>
    <definedName name="UPS_NS_Clc">#REF!</definedName>
    <definedName name="UPS_NS_ICP_Clc">#REF!</definedName>
    <definedName name="UPS_NS_SP_Clc">#REF!</definedName>
    <definedName name="UPS_NS_SP_M">#REF!</definedName>
    <definedName name="UPS_PAd_ICP_M">#REF!</definedName>
    <definedName name="UPS_PAd_M">#REF!</definedName>
    <definedName name="UPS_Pad_SP_M">#REF!</definedName>
    <definedName name="UPS1_Ad_Clc">#REF!</definedName>
    <definedName name="UPS1_Ad_SP_Clc">#REF!</definedName>
    <definedName name="UPS1_Clc">#REF!</definedName>
    <definedName name="UPS1_CP_Clc">#REF!</definedName>
    <definedName name="UPS1_SP_Clc">#REF!</definedName>
    <definedName name="UPS10_Ad_Clc">#REF!</definedName>
    <definedName name="UPS10_Ad_SP_Clc">#REF!</definedName>
    <definedName name="UPS10_Clc">#REF!</definedName>
    <definedName name="UPS10_CP_Clc">#REF!</definedName>
    <definedName name="UPS10_SP_Clc">#REF!</definedName>
    <definedName name="UPS11_Ad_Clc">#REF!</definedName>
    <definedName name="UPS11_Ad_SP_Clc">#REF!</definedName>
    <definedName name="UPS11_Clc">#REF!</definedName>
    <definedName name="UPS11_CP_Clc">#REF!</definedName>
    <definedName name="UPS11_SP_Clc">#REF!</definedName>
    <definedName name="UPS2_Ad_Clc">#REF!</definedName>
    <definedName name="UPS2_Ad_SP_Clc">#REF!</definedName>
    <definedName name="UPS2_Clc">#REF!</definedName>
    <definedName name="UPS2_CP_Clc">#REF!</definedName>
    <definedName name="UPS2_SP_Clc">#REF!</definedName>
    <definedName name="UPS3_Ad_Clc">#REF!</definedName>
    <definedName name="UPS3_Ad_SP_Clc">#REF!</definedName>
    <definedName name="UPS3_Clc">#REF!</definedName>
    <definedName name="UPS3_CP_Clc">#REF!</definedName>
    <definedName name="UPS3_SP_Clc">#REF!</definedName>
    <definedName name="UPS4_Ad_Clc">#REF!</definedName>
    <definedName name="UPS4_Ad_SP_Clc">#REF!</definedName>
    <definedName name="UPS4_Clc">#REF!</definedName>
    <definedName name="UPS4_CP_Clc">#REF!</definedName>
    <definedName name="UPS4_SP_Clc">#REF!</definedName>
    <definedName name="UPS5_Ad_Clc">#REF!</definedName>
    <definedName name="UPS5_Ad_SP_Clc">#REF!</definedName>
    <definedName name="UPS5_Clc">#REF!</definedName>
    <definedName name="UPS5_CP_Clc">#REF!</definedName>
    <definedName name="UPS5_SP_Clc">#REF!</definedName>
    <definedName name="UPS6_Ad_Clc">#REF!</definedName>
    <definedName name="UPS6_Ad_SP_Clc">#REF!</definedName>
    <definedName name="UPS6_Clc">#REF!</definedName>
    <definedName name="UPS6_CP_Clc">#REF!</definedName>
    <definedName name="UPS6_SP_Clc">#REF!</definedName>
    <definedName name="UPS7_Ad_Clc">#REF!</definedName>
    <definedName name="UPS7_Ad_SP_Clc">#REF!</definedName>
    <definedName name="UPS7_Clc">#REF!</definedName>
    <definedName name="UPS7_CP_Clc">#REF!</definedName>
    <definedName name="UPS7_SP_Clc">#REF!</definedName>
    <definedName name="UPS8_Ad_Clc">#REF!</definedName>
    <definedName name="UPS8_Ad_SP_Clc">#REF!</definedName>
    <definedName name="UPS8_Clc">#REF!</definedName>
    <definedName name="UPS8_CP_Clc">#REF!</definedName>
    <definedName name="UPS8_SP_Clc">#REF!</definedName>
    <definedName name="UPS9_Ad_Clc">#REF!</definedName>
    <definedName name="UPS9_Ad_SP_Clc">#REF!</definedName>
    <definedName name="UPS9_Clc">#REF!</definedName>
    <definedName name="UPS9_CP_Clc">#REF!</definedName>
    <definedName name="UPS9_SP_Clc">#REF!</definedName>
    <definedName name="USP_NS_AjxAlt_Clc">#REF!</definedName>
    <definedName name="Viaticos1">CU_Inv!$K$77</definedName>
    <definedName name="Viaticos2">CU_Inv!$K$79</definedName>
    <definedName name="xxxx" localSheetId="3" hidden="1">[4]Inputs!#REF!</definedName>
    <definedName name="xxxx" hidden="1">[4]Inputs!#REF!</definedName>
    <definedName name="Year_Clc">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2" i="43" l="1"/>
  <c r="B11" i="56"/>
  <c r="B12" i="56"/>
  <c r="B13" i="56"/>
  <c r="B14" i="56"/>
  <c r="D5" i="44"/>
  <c r="D4" i="44"/>
  <c r="D6" i="44"/>
  <c r="B3" i="44"/>
  <c r="E22" i="57"/>
  <c r="B2" i="43"/>
  <c r="D12" i="44"/>
  <c r="E12" i="44"/>
  <c r="F12" i="44"/>
  <c r="G12" i="44"/>
  <c r="C12" i="44"/>
  <c r="C13" i="44"/>
  <c r="C7" i="44"/>
  <c r="B7" i="44"/>
  <c r="D13" i="44"/>
  <c r="E13" i="44"/>
  <c r="F13" i="44"/>
  <c r="G13" i="44"/>
  <c r="H13" i="44"/>
  <c r="C3" i="44"/>
  <c r="L25" i="43"/>
  <c r="C6" i="44"/>
  <c r="J25" i="43"/>
  <c r="H25" i="43"/>
  <c r="F25" i="43"/>
  <c r="D25" i="43"/>
  <c r="B25" i="43"/>
  <c r="E7" i="60"/>
  <c r="E8" i="60"/>
  <c r="E9" i="60"/>
  <c r="E6" i="60"/>
  <c r="N64" i="59"/>
  <c r="P64" i="59"/>
  <c r="G77" i="59"/>
  <c r="G65" i="59"/>
  <c r="G66" i="59"/>
  <c r="G67" i="59"/>
  <c r="G68" i="59"/>
  <c r="G69" i="59"/>
  <c r="G70" i="59"/>
  <c r="G71" i="59"/>
  <c r="G72" i="59"/>
  <c r="G73" i="59"/>
  <c r="G74" i="59"/>
  <c r="G75" i="59"/>
  <c r="G76" i="59"/>
  <c r="L64" i="59"/>
  <c r="L69" i="59"/>
  <c r="L70" i="59"/>
  <c r="L71" i="59"/>
  <c r="L72" i="59"/>
  <c r="L73" i="59"/>
  <c r="L74" i="59"/>
  <c r="L75" i="59"/>
  <c r="P69" i="59"/>
  <c r="P70" i="59"/>
  <c r="P71" i="59"/>
  <c r="P72" i="59"/>
  <c r="P73" i="59"/>
  <c r="P74" i="59"/>
  <c r="P75" i="59"/>
  <c r="R64" i="59"/>
  <c r="T64" i="59"/>
  <c r="T65" i="59"/>
  <c r="T66" i="59"/>
  <c r="T67" i="59"/>
  <c r="T68" i="59"/>
  <c r="T69" i="59"/>
  <c r="T70" i="59"/>
  <c r="T71" i="59"/>
  <c r="T72" i="59"/>
  <c r="T73" i="59"/>
  <c r="T74" i="59"/>
  <c r="T75" i="59"/>
  <c r="T76" i="59"/>
  <c r="AB64" i="59"/>
  <c r="AB65" i="59"/>
  <c r="AB66" i="59"/>
  <c r="AB67" i="59"/>
  <c r="AB68" i="59"/>
  <c r="AB69" i="59"/>
  <c r="AB70" i="59"/>
  <c r="AB71" i="59"/>
  <c r="AB72" i="59"/>
  <c r="AB73" i="59"/>
  <c r="AB74" i="59"/>
  <c r="AB75" i="59"/>
  <c r="AB76" i="59"/>
  <c r="B63" i="59"/>
  <c r="D10" i="59"/>
  <c r="G10" i="59"/>
  <c r="G11" i="59"/>
  <c r="G12" i="59"/>
  <c r="G13" i="59"/>
  <c r="G14" i="59"/>
  <c r="L10" i="59"/>
  <c r="L11" i="59"/>
  <c r="L12" i="59"/>
  <c r="L13" i="59"/>
  <c r="L14" i="59"/>
  <c r="P10" i="59"/>
  <c r="P11" i="59"/>
  <c r="P12" i="59"/>
  <c r="P13" i="59"/>
  <c r="P14" i="59"/>
  <c r="T10" i="59"/>
  <c r="T11" i="59"/>
  <c r="T12" i="59"/>
  <c r="T13" i="59"/>
  <c r="T14" i="59"/>
  <c r="B10" i="59"/>
  <c r="G15" i="59"/>
  <c r="G16" i="59"/>
  <c r="G17" i="59"/>
  <c r="G18" i="59"/>
  <c r="G19" i="59"/>
  <c r="I15" i="59"/>
  <c r="L15" i="59"/>
  <c r="L16" i="59"/>
  <c r="L17" i="59"/>
  <c r="L18" i="59"/>
  <c r="L19" i="59"/>
  <c r="N15" i="59"/>
  <c r="P15" i="59"/>
  <c r="N16" i="59"/>
  <c r="P16" i="59"/>
  <c r="P17" i="59"/>
  <c r="P18" i="59"/>
  <c r="P19" i="59"/>
  <c r="T15" i="59"/>
  <c r="T16" i="59"/>
  <c r="T17" i="59"/>
  <c r="T18" i="59"/>
  <c r="T19" i="59"/>
  <c r="B15" i="59"/>
  <c r="D20" i="59"/>
  <c r="G20" i="59"/>
  <c r="G21" i="59"/>
  <c r="G22" i="59"/>
  <c r="G23" i="59"/>
  <c r="G24" i="59"/>
  <c r="L20" i="59"/>
  <c r="L21" i="59"/>
  <c r="L22" i="59"/>
  <c r="L23" i="59"/>
  <c r="L24" i="59"/>
  <c r="P20" i="59"/>
  <c r="P21" i="59"/>
  <c r="P22" i="59"/>
  <c r="P23" i="59"/>
  <c r="P24" i="59"/>
  <c r="T20" i="59"/>
  <c r="T21" i="59"/>
  <c r="T22" i="59"/>
  <c r="T23" i="59"/>
  <c r="T24" i="59"/>
  <c r="B20" i="59"/>
  <c r="D25" i="59"/>
  <c r="G25" i="59"/>
  <c r="G26" i="59"/>
  <c r="G27" i="59"/>
  <c r="G28" i="59"/>
  <c r="G29" i="59"/>
  <c r="L25" i="59"/>
  <c r="T25" i="59"/>
  <c r="T26" i="59"/>
  <c r="T27" i="59"/>
  <c r="T28" i="59"/>
  <c r="T29" i="59"/>
  <c r="B25" i="59"/>
  <c r="B8" i="59"/>
  <c r="D32" i="59"/>
  <c r="G32" i="59"/>
  <c r="G33" i="59"/>
  <c r="G34" i="59"/>
  <c r="G35" i="59"/>
  <c r="G36" i="59"/>
  <c r="B9" i="58"/>
  <c r="D9" i="58"/>
  <c r="I32" i="59"/>
  <c r="L32" i="59"/>
  <c r="L33" i="59"/>
  <c r="L34" i="59"/>
  <c r="L35" i="59"/>
  <c r="L36" i="59"/>
  <c r="P32" i="59"/>
  <c r="P33" i="59"/>
  <c r="P34" i="59"/>
  <c r="P35" i="59"/>
  <c r="P36" i="59"/>
  <c r="T32" i="59"/>
  <c r="T33" i="59"/>
  <c r="T34" i="59"/>
  <c r="T35" i="59"/>
  <c r="T36" i="59"/>
  <c r="B32" i="59"/>
  <c r="B30" i="59"/>
  <c r="B2" i="59"/>
  <c r="B6" i="60"/>
  <c r="B10" i="60"/>
  <c r="C6" i="60"/>
  <c r="C10" i="60"/>
  <c r="D10" i="60"/>
  <c r="D9" i="60"/>
  <c r="D8" i="60"/>
  <c r="D7" i="60"/>
  <c r="D6" i="60"/>
  <c r="K32" i="43"/>
  <c r="K39" i="43"/>
  <c r="B39" i="43"/>
  <c r="L39" i="43"/>
  <c r="I32" i="43"/>
  <c r="I39" i="43"/>
  <c r="J39" i="43"/>
  <c r="G32" i="43"/>
  <c r="G39" i="43"/>
  <c r="H39" i="43"/>
  <c r="E32" i="43"/>
  <c r="E39" i="43"/>
  <c r="F39" i="43"/>
  <c r="C32" i="43"/>
  <c r="C39" i="43"/>
  <c r="D39" i="43"/>
  <c r="B5" i="43"/>
  <c r="J5" i="43"/>
  <c r="B6" i="43"/>
  <c r="J6" i="43"/>
  <c r="B7" i="43"/>
  <c r="J7" i="43"/>
  <c r="B8" i="43"/>
  <c r="J8" i="43"/>
  <c r="J4" i="43"/>
  <c r="B12" i="43"/>
  <c r="J12" i="43"/>
  <c r="J13" i="43"/>
  <c r="J14" i="43"/>
  <c r="J15" i="43"/>
  <c r="J16" i="43"/>
  <c r="J17" i="43"/>
  <c r="J18" i="43"/>
  <c r="J19" i="43"/>
  <c r="J20" i="43"/>
  <c r="J11" i="43"/>
  <c r="B28" i="43"/>
  <c r="I28" i="43"/>
  <c r="J28" i="43"/>
  <c r="B27" i="43"/>
  <c r="I27" i="43"/>
  <c r="J27" i="43"/>
  <c r="B29" i="43"/>
  <c r="I29" i="43"/>
  <c r="J29" i="43"/>
  <c r="B30" i="43"/>
  <c r="I30" i="43"/>
  <c r="J30" i="43"/>
  <c r="B31" i="43"/>
  <c r="I31" i="43"/>
  <c r="J31" i="43"/>
  <c r="B32" i="43"/>
  <c r="J32" i="43"/>
  <c r="T77" i="59"/>
  <c r="AB77" i="59"/>
  <c r="B38" i="43"/>
  <c r="I38" i="43"/>
  <c r="J38" i="43"/>
  <c r="B26" i="43"/>
  <c r="J26" i="43"/>
  <c r="B33" i="43"/>
  <c r="I33" i="43"/>
  <c r="J33" i="43"/>
  <c r="B34" i="43"/>
  <c r="I34" i="43"/>
  <c r="J34" i="43"/>
  <c r="B35" i="43"/>
  <c r="I35" i="43"/>
  <c r="J35" i="43"/>
  <c r="B36" i="43"/>
  <c r="I36" i="43"/>
  <c r="J36" i="43"/>
  <c r="B37" i="43"/>
  <c r="I37" i="43"/>
  <c r="J37" i="43"/>
  <c r="J2" i="43"/>
  <c r="B4" i="43"/>
  <c r="B11" i="43"/>
  <c r="I2" i="43"/>
  <c r="H5" i="43"/>
  <c r="H6" i="43"/>
  <c r="H7" i="43"/>
  <c r="H8" i="43"/>
  <c r="H4" i="43"/>
  <c r="H12" i="43"/>
  <c r="H13" i="43"/>
  <c r="H14" i="43"/>
  <c r="H15" i="43"/>
  <c r="H16" i="43"/>
  <c r="H17" i="43"/>
  <c r="H18" i="43"/>
  <c r="H19" i="43"/>
  <c r="H20" i="43"/>
  <c r="H11" i="43"/>
  <c r="G28" i="43"/>
  <c r="H28" i="43"/>
  <c r="G27" i="43"/>
  <c r="H27" i="43"/>
  <c r="G29" i="43"/>
  <c r="H29" i="43"/>
  <c r="G30" i="43"/>
  <c r="H30" i="43"/>
  <c r="G31" i="43"/>
  <c r="H31" i="43"/>
  <c r="H32" i="43"/>
  <c r="G38" i="43"/>
  <c r="H38" i="43"/>
  <c r="H26" i="43"/>
  <c r="G33" i="43"/>
  <c r="H33" i="43"/>
  <c r="G34" i="43"/>
  <c r="H34" i="43"/>
  <c r="G35" i="43"/>
  <c r="H35" i="43"/>
  <c r="G36" i="43"/>
  <c r="H36" i="43"/>
  <c r="G37" i="43"/>
  <c r="H37" i="43"/>
  <c r="H2" i="43"/>
  <c r="G2" i="43"/>
  <c r="F5" i="43"/>
  <c r="F6" i="43"/>
  <c r="F7" i="43"/>
  <c r="F8" i="43"/>
  <c r="F4" i="43"/>
  <c r="F12" i="43"/>
  <c r="F13" i="43"/>
  <c r="F14" i="43"/>
  <c r="F15" i="43"/>
  <c r="F16" i="43"/>
  <c r="F17" i="43"/>
  <c r="F18" i="43"/>
  <c r="F19" i="43"/>
  <c r="F20" i="43"/>
  <c r="F11" i="43"/>
  <c r="E28" i="43"/>
  <c r="F28" i="43"/>
  <c r="E27" i="43"/>
  <c r="F27" i="43"/>
  <c r="E29" i="43"/>
  <c r="F29" i="43"/>
  <c r="E30" i="43"/>
  <c r="F30" i="43"/>
  <c r="E31" i="43"/>
  <c r="F31" i="43"/>
  <c r="F32" i="43"/>
  <c r="E38" i="43"/>
  <c r="F38" i="43"/>
  <c r="F26" i="43"/>
  <c r="E33" i="43"/>
  <c r="F33" i="43"/>
  <c r="E34" i="43"/>
  <c r="F34" i="43"/>
  <c r="E35" i="43"/>
  <c r="F35" i="43"/>
  <c r="E36" i="43"/>
  <c r="F36" i="43"/>
  <c r="E37" i="43"/>
  <c r="F37" i="43"/>
  <c r="F2" i="43"/>
  <c r="E2" i="43"/>
  <c r="L5" i="43"/>
  <c r="L6" i="43"/>
  <c r="L7" i="43"/>
  <c r="L8" i="43"/>
  <c r="L4" i="43"/>
  <c r="L12" i="43"/>
  <c r="L13" i="43"/>
  <c r="L14" i="43"/>
  <c r="L15" i="43"/>
  <c r="L16" i="43"/>
  <c r="L17" i="43"/>
  <c r="L18" i="43"/>
  <c r="L19" i="43"/>
  <c r="L20" i="43"/>
  <c r="L11" i="43"/>
  <c r="K28" i="43"/>
  <c r="L28" i="43"/>
  <c r="L27" i="43"/>
  <c r="K29" i="43"/>
  <c r="L29" i="43"/>
  <c r="K30" i="43"/>
  <c r="L30" i="43"/>
  <c r="K31" i="43"/>
  <c r="L31" i="43"/>
  <c r="L32" i="43"/>
  <c r="K38" i="43"/>
  <c r="L38" i="43"/>
  <c r="L26" i="43"/>
  <c r="K33" i="43"/>
  <c r="L33" i="43"/>
  <c r="K34" i="43"/>
  <c r="L34" i="43"/>
  <c r="K35" i="43"/>
  <c r="L35" i="43"/>
  <c r="K36" i="43"/>
  <c r="L36" i="43"/>
  <c r="K37" i="43"/>
  <c r="L37" i="43"/>
  <c r="L2" i="43"/>
  <c r="D5" i="43"/>
  <c r="D6" i="43"/>
  <c r="D7" i="43"/>
  <c r="D8" i="43"/>
  <c r="D4" i="43"/>
  <c r="D12" i="43"/>
  <c r="D13" i="43"/>
  <c r="D14" i="43"/>
  <c r="D15" i="43"/>
  <c r="D16" i="43"/>
  <c r="D17" i="43"/>
  <c r="D18" i="43"/>
  <c r="D19" i="43"/>
  <c r="D20" i="43"/>
  <c r="D11" i="43"/>
  <c r="C28" i="43"/>
  <c r="D28" i="43"/>
  <c r="C27" i="43"/>
  <c r="D27" i="43"/>
  <c r="C29" i="43"/>
  <c r="D29" i="43"/>
  <c r="C30" i="43"/>
  <c r="D30" i="43"/>
  <c r="C31" i="43"/>
  <c r="D31" i="43"/>
  <c r="D32" i="43"/>
  <c r="C38" i="43"/>
  <c r="D38" i="43"/>
  <c r="D26" i="43"/>
  <c r="C33" i="43"/>
  <c r="D33" i="43"/>
  <c r="C34" i="43"/>
  <c r="D34" i="43"/>
  <c r="C35" i="43"/>
  <c r="D35" i="43"/>
  <c r="C36" i="43"/>
  <c r="D36" i="43"/>
  <c r="C37" i="43"/>
  <c r="D37" i="43"/>
  <c r="D2" i="43"/>
  <c r="B26" i="56"/>
  <c r="B25" i="56"/>
  <c r="B24" i="56"/>
  <c r="A24" i="43"/>
  <c r="A26" i="56"/>
  <c r="A10" i="43"/>
  <c r="A25" i="56"/>
  <c r="A3" i="43"/>
  <c r="A24" i="56"/>
  <c r="E59" i="57"/>
  <c r="E56" i="57"/>
  <c r="E53" i="57"/>
  <c r="E54" i="57"/>
  <c r="E55" i="57"/>
  <c r="E58" i="57"/>
  <c r="E49" i="57"/>
  <c r="E48" i="57"/>
  <c r="E51" i="57"/>
  <c r="E33" i="57"/>
  <c r="E41" i="57"/>
  <c r="E42" i="57"/>
  <c r="E43" i="57"/>
  <c r="E34" i="57"/>
  <c r="E35" i="57"/>
  <c r="E36" i="57"/>
  <c r="E37" i="57"/>
  <c r="E38" i="57"/>
  <c r="E39" i="57"/>
  <c r="E40" i="57"/>
  <c r="E46" i="57"/>
  <c r="E5" i="57"/>
  <c r="E8" i="57"/>
  <c r="E11" i="57"/>
  <c r="E10" i="57"/>
  <c r="E12" i="57"/>
  <c r="E13" i="57"/>
  <c r="E14" i="57"/>
  <c r="E15" i="57"/>
  <c r="E6" i="57"/>
  <c r="E7" i="57"/>
  <c r="E9" i="57"/>
  <c r="E16" i="57"/>
  <c r="E17" i="57"/>
  <c r="E18" i="57"/>
  <c r="E19" i="57"/>
  <c r="E20" i="57"/>
  <c r="A6" i="57"/>
  <c r="E60" i="57"/>
  <c r="A56" i="57"/>
  <c r="A49" i="57"/>
  <c r="A48" i="57"/>
  <c r="A55" i="57"/>
  <c r="A54" i="57"/>
  <c r="A53" i="57"/>
  <c r="A43" i="57"/>
  <c r="A42" i="57"/>
  <c r="A41" i="57"/>
  <c r="A40" i="57"/>
  <c r="A39" i="57"/>
  <c r="A38" i="57"/>
  <c r="A37" i="57"/>
  <c r="A36" i="57"/>
  <c r="A35" i="57"/>
  <c r="A34" i="57"/>
  <c r="A33" i="57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7" i="57"/>
  <c r="A5" i="57"/>
  <c r="G4" i="43"/>
  <c r="E15" i="44"/>
  <c r="I4" i="43"/>
  <c r="F15" i="44"/>
  <c r="K4" i="43"/>
  <c r="G15" i="44"/>
  <c r="E4" i="43"/>
  <c r="D15" i="44"/>
  <c r="C4" i="43"/>
  <c r="C15" i="44"/>
  <c r="Q85" i="59"/>
  <c r="Q38" i="43"/>
  <c r="Q37" i="43"/>
  <c r="Q36" i="43"/>
  <c r="Q35" i="43"/>
  <c r="P29" i="59"/>
  <c r="P28" i="59"/>
  <c r="P27" i="59"/>
  <c r="P26" i="59"/>
  <c r="AB29" i="59"/>
  <c r="AB28" i="59"/>
  <c r="AB27" i="59"/>
  <c r="AB26" i="59"/>
  <c r="AB25" i="59"/>
  <c r="AB21" i="59"/>
  <c r="AB20" i="59"/>
  <c r="AB14" i="59"/>
  <c r="AB13" i="59"/>
  <c r="AB12" i="59"/>
  <c r="AB11" i="59"/>
  <c r="AB36" i="59"/>
  <c r="AB35" i="59"/>
  <c r="AB34" i="59"/>
  <c r="AB33" i="59"/>
  <c r="P25" i="59"/>
  <c r="AB22" i="59"/>
  <c r="AB23" i="59"/>
  <c r="AB24" i="59"/>
  <c r="AB19" i="59"/>
  <c r="AB18" i="59"/>
  <c r="AB17" i="59"/>
  <c r="AB16" i="59"/>
  <c r="AB15" i="59"/>
  <c r="X15" i="59"/>
  <c r="X16" i="59"/>
  <c r="H81" i="23"/>
  <c r="Z81" i="23"/>
  <c r="Y81" i="23"/>
  <c r="X81" i="23"/>
  <c r="W81" i="23"/>
  <c r="V81" i="23"/>
  <c r="A39" i="43"/>
  <c r="A37" i="43"/>
  <c r="A36" i="43"/>
  <c r="A35" i="43"/>
  <c r="A34" i="43"/>
  <c r="A33" i="43"/>
  <c r="A31" i="43"/>
  <c r="A30" i="43"/>
  <c r="A29" i="43"/>
  <c r="A28" i="43"/>
  <c r="A27" i="43"/>
  <c r="A26" i="43"/>
  <c r="A12" i="43"/>
  <c r="A8" i="43"/>
  <c r="A7" i="43"/>
  <c r="A6" i="43"/>
  <c r="A5" i="43"/>
  <c r="B77" i="59"/>
  <c r="B76" i="59"/>
  <c r="B75" i="59"/>
  <c r="B74" i="59"/>
  <c r="B73" i="59"/>
  <c r="B72" i="59"/>
  <c r="B71" i="59"/>
  <c r="B70" i="59"/>
  <c r="B69" i="59"/>
  <c r="B68" i="59"/>
  <c r="B67" i="59"/>
  <c r="B66" i="59"/>
  <c r="B65" i="59"/>
  <c r="A77" i="59"/>
  <c r="A76" i="59"/>
  <c r="A75" i="59"/>
  <c r="A74" i="59"/>
  <c r="A73" i="59"/>
  <c r="A71" i="59"/>
  <c r="A70" i="59"/>
  <c r="A69" i="59"/>
  <c r="A68" i="59"/>
  <c r="A67" i="59"/>
  <c r="A66" i="59"/>
  <c r="A65" i="59"/>
  <c r="AB10" i="59"/>
  <c r="X35" i="59"/>
  <c r="X36" i="59"/>
  <c r="AB32" i="59"/>
  <c r="G3" i="58"/>
  <c r="C5" i="58"/>
  <c r="D5" i="58"/>
  <c r="X25" i="59"/>
  <c r="C2" i="58"/>
  <c r="D2" i="58"/>
  <c r="X75" i="59"/>
  <c r="X74" i="59"/>
  <c r="X73" i="59"/>
  <c r="X72" i="59"/>
  <c r="X71" i="59"/>
  <c r="X70" i="59"/>
  <c r="X69" i="59"/>
  <c r="X64" i="59"/>
  <c r="AB62" i="59"/>
  <c r="X62" i="59"/>
  <c r="T62" i="59"/>
  <c r="P62" i="59"/>
  <c r="L62" i="59"/>
  <c r="G62" i="59"/>
  <c r="AB61" i="59"/>
  <c r="X61" i="59"/>
  <c r="T61" i="59"/>
  <c r="P61" i="59"/>
  <c r="L61" i="59"/>
  <c r="G61" i="59"/>
  <c r="AB60" i="59"/>
  <c r="X60" i="59"/>
  <c r="T60" i="59"/>
  <c r="P60" i="59"/>
  <c r="L60" i="59"/>
  <c r="G60" i="59"/>
  <c r="P59" i="59"/>
  <c r="L59" i="59"/>
  <c r="X58" i="59"/>
  <c r="P58" i="59"/>
  <c r="L58" i="59"/>
  <c r="G58" i="59"/>
  <c r="AB57" i="59"/>
  <c r="X57" i="59"/>
  <c r="T57" i="59"/>
  <c r="P57" i="59"/>
  <c r="L57" i="59"/>
  <c r="G57" i="59"/>
  <c r="AB56" i="59"/>
  <c r="X56" i="59"/>
  <c r="T56" i="59"/>
  <c r="P56" i="59"/>
  <c r="L56" i="59"/>
  <c r="G56" i="59"/>
  <c r="AB55" i="59"/>
  <c r="X55" i="59"/>
  <c r="T55" i="59"/>
  <c r="P55" i="59"/>
  <c r="L55" i="59"/>
  <c r="G55" i="59"/>
  <c r="AB54" i="59"/>
  <c r="X54" i="59"/>
  <c r="T54" i="59"/>
  <c r="P54" i="59"/>
  <c r="L54" i="59"/>
  <c r="G54" i="59"/>
  <c r="P53" i="59"/>
  <c r="L53" i="59"/>
  <c r="X52" i="59"/>
  <c r="P52" i="59"/>
  <c r="L52" i="59"/>
  <c r="G52" i="59"/>
  <c r="AB51" i="59"/>
  <c r="X51" i="59"/>
  <c r="T51" i="59"/>
  <c r="P51" i="59"/>
  <c r="L51" i="59"/>
  <c r="G51" i="59"/>
  <c r="AB50" i="59"/>
  <c r="X50" i="59"/>
  <c r="T50" i="59"/>
  <c r="P50" i="59"/>
  <c r="L50" i="59"/>
  <c r="G50" i="59"/>
  <c r="AB49" i="59"/>
  <c r="X49" i="59"/>
  <c r="T49" i="59"/>
  <c r="P49" i="59"/>
  <c r="L49" i="59"/>
  <c r="G49" i="59"/>
  <c r="AB48" i="59"/>
  <c r="X48" i="59"/>
  <c r="T48" i="59"/>
  <c r="P48" i="59"/>
  <c r="L48" i="59"/>
  <c r="G48" i="59"/>
  <c r="P47" i="59"/>
  <c r="L47" i="59"/>
  <c r="X46" i="59"/>
  <c r="P46" i="59"/>
  <c r="L46" i="59"/>
  <c r="G46" i="59"/>
  <c r="AB45" i="59"/>
  <c r="X45" i="59"/>
  <c r="T45" i="59"/>
  <c r="P45" i="59"/>
  <c r="L45" i="59"/>
  <c r="G45" i="59"/>
  <c r="AB44" i="59"/>
  <c r="X44" i="59"/>
  <c r="T44" i="59"/>
  <c r="P44" i="59"/>
  <c r="L44" i="59"/>
  <c r="G44" i="59"/>
  <c r="AB43" i="59"/>
  <c r="X43" i="59"/>
  <c r="T43" i="59"/>
  <c r="P43" i="59"/>
  <c r="L43" i="59"/>
  <c r="G43" i="59"/>
  <c r="AB42" i="59"/>
  <c r="X42" i="59"/>
  <c r="T42" i="59"/>
  <c r="P42" i="59"/>
  <c r="L42" i="59"/>
  <c r="G42" i="59"/>
  <c r="P41" i="59"/>
  <c r="L41" i="59"/>
  <c r="X40" i="59"/>
  <c r="P40" i="59"/>
  <c r="L40" i="59"/>
  <c r="G40" i="59"/>
  <c r="AB39" i="59"/>
  <c r="X39" i="59"/>
  <c r="T39" i="59"/>
  <c r="P39" i="59"/>
  <c r="L39" i="59"/>
  <c r="G39" i="59"/>
  <c r="X33" i="59"/>
  <c r="X32" i="59"/>
  <c r="X20" i="59"/>
  <c r="X10" i="59"/>
  <c r="D112" i="42"/>
  <c r="D111" i="42"/>
  <c r="D3" i="42"/>
  <c r="D17" i="42"/>
  <c r="D8" i="42"/>
  <c r="D37" i="42"/>
  <c r="D2" i="42"/>
  <c r="D1" i="42"/>
  <c r="F118" i="42"/>
  <c r="I118" i="42"/>
  <c r="B118" i="42"/>
  <c r="I117" i="42"/>
  <c r="B117" i="42"/>
  <c r="V48" i="42"/>
  <c r="V47" i="42"/>
  <c r="V46" i="42"/>
  <c r="V55" i="42"/>
  <c r="V54" i="42"/>
  <c r="V53" i="42"/>
  <c r="V52" i="42"/>
  <c r="K63" i="42"/>
  <c r="N63" i="42"/>
  <c r="AD68" i="42"/>
  <c r="Z68" i="42"/>
  <c r="V68" i="42"/>
  <c r="R68" i="42"/>
  <c r="N68" i="42"/>
  <c r="I68" i="42"/>
  <c r="AD67" i="42"/>
  <c r="Z67" i="42"/>
  <c r="V67" i="42"/>
  <c r="R67" i="42"/>
  <c r="N67" i="42"/>
  <c r="I67" i="42"/>
  <c r="AD66" i="42"/>
  <c r="Z66" i="42"/>
  <c r="V66" i="42"/>
  <c r="R66" i="42"/>
  <c r="N66" i="42"/>
  <c r="I66" i="42"/>
  <c r="R65" i="42"/>
  <c r="N65" i="42"/>
  <c r="Z64" i="42"/>
  <c r="R64" i="42"/>
  <c r="N64" i="42"/>
  <c r="I64" i="42"/>
  <c r="AD63" i="42"/>
  <c r="Z63" i="42"/>
  <c r="V63" i="42"/>
  <c r="R63" i="42"/>
  <c r="I63" i="42"/>
  <c r="I71" i="42"/>
  <c r="N71" i="42"/>
  <c r="R71" i="42"/>
  <c r="V71" i="42"/>
  <c r="Z71" i="42"/>
  <c r="AD71" i="42"/>
  <c r="I72" i="42"/>
  <c r="N72" i="42"/>
  <c r="R72" i="42"/>
  <c r="Z72" i="42"/>
  <c r="N73" i="42"/>
  <c r="R73" i="42"/>
  <c r="I74" i="42"/>
  <c r="N74" i="42"/>
  <c r="R74" i="42"/>
  <c r="V74" i="42"/>
  <c r="Z74" i="42"/>
  <c r="AD74" i="42"/>
  <c r="E191" i="48"/>
  <c r="G191" i="48"/>
  <c r="Q22" i="43"/>
  <c r="Q21" i="43"/>
  <c r="Q20" i="43"/>
  <c r="Q19" i="43"/>
  <c r="Q18" i="43"/>
  <c r="Q17" i="43"/>
  <c r="Q16" i="43"/>
  <c r="Q15" i="43"/>
  <c r="Q14" i="43"/>
  <c r="Q13" i="43"/>
  <c r="Q12" i="43"/>
  <c r="AD114" i="42"/>
  <c r="AD113" i="42"/>
  <c r="AD112" i="42"/>
  <c r="AD111" i="42"/>
  <c r="AD109" i="42"/>
  <c r="AD108" i="42"/>
  <c r="AD107" i="42"/>
  <c r="AD97" i="42"/>
  <c r="AD94" i="42"/>
  <c r="AD93" i="42"/>
  <c r="AD92" i="42"/>
  <c r="AD89" i="42"/>
  <c r="AD88" i="42"/>
  <c r="AD87" i="42"/>
  <c r="AD86" i="42"/>
  <c r="AD83" i="42"/>
  <c r="AD82" i="42"/>
  <c r="AD81" i="42"/>
  <c r="AD80" i="42"/>
  <c r="AD77" i="42"/>
  <c r="AD76" i="42"/>
  <c r="AD75" i="42"/>
  <c r="AD62" i="42"/>
  <c r="AD61" i="42"/>
  <c r="AD60" i="42"/>
  <c r="AD57" i="42"/>
  <c r="AD56" i="42"/>
  <c r="AD55" i="42"/>
  <c r="AD54" i="42"/>
  <c r="AD51" i="42"/>
  <c r="AD50" i="42"/>
  <c r="AD49" i="42"/>
  <c r="AD48" i="42"/>
  <c r="AD45" i="42"/>
  <c r="AD44" i="42"/>
  <c r="AD43" i="42"/>
  <c r="AD42" i="42"/>
  <c r="AD39" i="42"/>
  <c r="AD36" i="42"/>
  <c r="AD35" i="42"/>
  <c r="AD33" i="42"/>
  <c r="AD31" i="42"/>
  <c r="AD30" i="42"/>
  <c r="AD29" i="42"/>
  <c r="AD27" i="42"/>
  <c r="AD25" i="42"/>
  <c r="AD24" i="42"/>
  <c r="AD22" i="42"/>
  <c r="AD21" i="42"/>
  <c r="AD19" i="42"/>
  <c r="AD18" i="42"/>
  <c r="AD12" i="42"/>
  <c r="AD11" i="42"/>
  <c r="AD10" i="42"/>
  <c r="Z94" i="42"/>
  <c r="V94" i="42"/>
  <c r="R94" i="42"/>
  <c r="N94" i="42"/>
  <c r="I94" i="42"/>
  <c r="Z93" i="42"/>
  <c r="V93" i="42"/>
  <c r="R93" i="42"/>
  <c r="N93" i="42"/>
  <c r="I93" i="42"/>
  <c r="Z92" i="42"/>
  <c r="V92" i="42"/>
  <c r="R92" i="42"/>
  <c r="N92" i="42"/>
  <c r="I92" i="42"/>
  <c r="R91" i="42"/>
  <c r="N91" i="42"/>
  <c r="Z90" i="42"/>
  <c r="R90" i="42"/>
  <c r="N90" i="42"/>
  <c r="I90" i="42"/>
  <c r="Z89" i="42"/>
  <c r="V89" i="42"/>
  <c r="R89" i="42"/>
  <c r="N89" i="42"/>
  <c r="I89" i="42"/>
  <c r="Z88" i="42"/>
  <c r="V88" i="42"/>
  <c r="R88" i="42"/>
  <c r="N88" i="42"/>
  <c r="I88" i="42"/>
  <c r="Z87" i="42"/>
  <c r="V87" i="42"/>
  <c r="R87" i="42"/>
  <c r="N87" i="42"/>
  <c r="I87" i="42"/>
  <c r="Z86" i="42"/>
  <c r="V86" i="42"/>
  <c r="R86" i="42"/>
  <c r="N86" i="42"/>
  <c r="I86" i="42"/>
  <c r="R85" i="42"/>
  <c r="N85" i="42"/>
  <c r="Z84" i="42"/>
  <c r="R84" i="42"/>
  <c r="N84" i="42"/>
  <c r="I84" i="42"/>
  <c r="Z83" i="42"/>
  <c r="V83" i="42"/>
  <c r="R83" i="42"/>
  <c r="N83" i="42"/>
  <c r="I83" i="42"/>
  <c r="Z82" i="42"/>
  <c r="V82" i="42"/>
  <c r="R82" i="42"/>
  <c r="N82" i="42"/>
  <c r="I82" i="42"/>
  <c r="Z81" i="42"/>
  <c r="V81" i="42"/>
  <c r="R81" i="42"/>
  <c r="N81" i="42"/>
  <c r="I81" i="42"/>
  <c r="Z80" i="42"/>
  <c r="V80" i="42"/>
  <c r="R80" i="42"/>
  <c r="N80" i="42"/>
  <c r="I80" i="42"/>
  <c r="R79" i="42"/>
  <c r="N79" i="42"/>
  <c r="Z78" i="42"/>
  <c r="R78" i="42"/>
  <c r="N78" i="42"/>
  <c r="I78" i="42"/>
  <c r="Z77" i="42"/>
  <c r="V77" i="42"/>
  <c r="R77" i="42"/>
  <c r="N77" i="42"/>
  <c r="I77" i="42"/>
  <c r="Z76" i="42"/>
  <c r="V76" i="42"/>
  <c r="R76" i="42"/>
  <c r="N76" i="42"/>
  <c r="I76" i="42"/>
  <c r="Z75" i="42"/>
  <c r="V75" i="42"/>
  <c r="R75" i="42"/>
  <c r="N75" i="42"/>
  <c r="I75" i="42"/>
  <c r="Z62" i="42"/>
  <c r="V62" i="42"/>
  <c r="R62" i="42"/>
  <c r="N62" i="42"/>
  <c r="I62" i="42"/>
  <c r="Z61" i="42"/>
  <c r="V61" i="42"/>
  <c r="R61" i="42"/>
  <c r="N61" i="42"/>
  <c r="I61" i="42"/>
  <c r="Z60" i="42"/>
  <c r="V60" i="42"/>
  <c r="R60" i="42"/>
  <c r="N60" i="42"/>
  <c r="I60" i="42"/>
  <c r="R59" i="42"/>
  <c r="N59" i="42"/>
  <c r="Z58" i="42"/>
  <c r="R58" i="42"/>
  <c r="N58" i="42"/>
  <c r="I58" i="42"/>
  <c r="Z57" i="42"/>
  <c r="V57" i="42"/>
  <c r="R57" i="42"/>
  <c r="N57" i="42"/>
  <c r="I57" i="42"/>
  <c r="Z56" i="42"/>
  <c r="V56" i="42"/>
  <c r="R56" i="42"/>
  <c r="N56" i="42"/>
  <c r="I56" i="42"/>
  <c r="Z55" i="42"/>
  <c r="R55" i="42"/>
  <c r="N55" i="42"/>
  <c r="I55" i="42"/>
  <c r="Z54" i="42"/>
  <c r="R54" i="42"/>
  <c r="N54" i="42"/>
  <c r="I54" i="42"/>
  <c r="R53" i="42"/>
  <c r="N53" i="42"/>
  <c r="Z52" i="42"/>
  <c r="R52" i="42"/>
  <c r="N52" i="42"/>
  <c r="I52" i="42"/>
  <c r="Z51" i="42"/>
  <c r="V51" i="42"/>
  <c r="R51" i="42"/>
  <c r="N51" i="42"/>
  <c r="I51" i="42"/>
  <c r="Z50" i="42"/>
  <c r="V50" i="42"/>
  <c r="R50" i="42"/>
  <c r="N50" i="42"/>
  <c r="I50" i="42"/>
  <c r="Z49" i="42"/>
  <c r="V49" i="42"/>
  <c r="R49" i="42"/>
  <c r="N49" i="42"/>
  <c r="I49" i="42"/>
  <c r="Z48" i="42"/>
  <c r="R48" i="42"/>
  <c r="N48" i="42"/>
  <c r="I48" i="42"/>
  <c r="R47" i="42"/>
  <c r="N47" i="42"/>
  <c r="Z46" i="42"/>
  <c r="R46" i="42"/>
  <c r="N46" i="42"/>
  <c r="I46" i="42"/>
  <c r="Z45" i="42"/>
  <c r="V45" i="42"/>
  <c r="R45" i="42"/>
  <c r="I45" i="42"/>
  <c r="R44" i="42"/>
  <c r="R43" i="42"/>
  <c r="R42" i="42"/>
  <c r="R41" i="42"/>
  <c r="C6" i="58"/>
  <c r="D6" i="58"/>
  <c r="B6" i="58"/>
  <c r="E5" i="58"/>
  <c r="K45" i="42"/>
  <c r="N45" i="42"/>
  <c r="B5" i="58"/>
  <c r="D3" i="58"/>
  <c r="B2" i="58"/>
  <c r="I115" i="42"/>
  <c r="B115" i="42"/>
  <c r="Z36" i="42"/>
  <c r="V36" i="42"/>
  <c r="R36" i="42"/>
  <c r="N36" i="42"/>
  <c r="I36" i="42"/>
  <c r="Z35" i="42"/>
  <c r="V35" i="42"/>
  <c r="R35" i="42"/>
  <c r="N35" i="42"/>
  <c r="I35" i="42"/>
  <c r="Z33" i="42"/>
  <c r="V33" i="42"/>
  <c r="R33" i="42"/>
  <c r="N33" i="42"/>
  <c r="I33" i="42"/>
  <c r="Z32" i="42"/>
  <c r="R32" i="42"/>
  <c r="I32" i="42"/>
  <c r="Z31" i="42"/>
  <c r="V31" i="42"/>
  <c r="R31" i="42"/>
  <c r="N31" i="42"/>
  <c r="Z30" i="42"/>
  <c r="V30" i="42"/>
  <c r="R30" i="42"/>
  <c r="N30" i="42"/>
  <c r="I30" i="42"/>
  <c r="Z29" i="42"/>
  <c r="V29" i="42"/>
  <c r="R29" i="42"/>
  <c r="N29" i="42"/>
  <c r="I29" i="42"/>
  <c r="Z27" i="42"/>
  <c r="V27" i="42"/>
  <c r="R27" i="42"/>
  <c r="N27" i="42"/>
  <c r="I27" i="42"/>
  <c r="Z26" i="42"/>
  <c r="R26" i="42"/>
  <c r="I26" i="42"/>
  <c r="Z25" i="42"/>
  <c r="V25" i="42"/>
  <c r="R25" i="42"/>
  <c r="N25" i="42"/>
  <c r="F7" i="24"/>
  <c r="K7" i="24"/>
  <c r="K9" i="24"/>
  <c r="K10" i="24"/>
  <c r="K8" i="24"/>
  <c r="F14" i="24"/>
  <c r="K14" i="24"/>
  <c r="F61" i="24"/>
  <c r="K61" i="24"/>
  <c r="K28" i="24"/>
  <c r="G65" i="24"/>
  <c r="F66" i="24"/>
  <c r="K66" i="24"/>
  <c r="F67" i="24"/>
  <c r="K67" i="24"/>
  <c r="K68" i="24"/>
  <c r="G15" i="24"/>
  <c r="K69" i="24"/>
  <c r="G9" i="47"/>
  <c r="I9" i="47"/>
  <c r="G10" i="47"/>
  <c r="I10" i="47"/>
  <c r="G11" i="47"/>
  <c r="I11" i="47"/>
  <c r="G12" i="47"/>
  <c r="I12" i="47"/>
  <c r="C14" i="47"/>
  <c r="C15" i="47"/>
  <c r="C17" i="47"/>
  <c r="G23" i="47"/>
  <c r="I23" i="47"/>
  <c r="G24" i="47"/>
  <c r="I24" i="47"/>
  <c r="G25" i="47"/>
  <c r="I25" i="47"/>
  <c r="G26" i="47"/>
  <c r="I26" i="47"/>
  <c r="I27" i="47"/>
  <c r="C28" i="47"/>
  <c r="C29" i="47"/>
  <c r="C31" i="47"/>
  <c r="G37" i="47"/>
  <c r="I37" i="47"/>
  <c r="G38" i="47"/>
  <c r="I38" i="47"/>
  <c r="G39" i="47"/>
  <c r="I39" i="47"/>
  <c r="G40" i="47"/>
  <c r="I40" i="47"/>
  <c r="G41" i="47"/>
  <c r="I41" i="47"/>
  <c r="G42" i="47"/>
  <c r="I42" i="47"/>
  <c r="G43" i="47"/>
  <c r="I43" i="47"/>
  <c r="C45" i="47"/>
  <c r="C46" i="47"/>
  <c r="C48" i="47"/>
  <c r="G55" i="47"/>
  <c r="I55" i="47"/>
  <c r="G56" i="47"/>
  <c r="I56" i="47"/>
  <c r="G57" i="47"/>
  <c r="I57" i="47"/>
  <c r="G58" i="47"/>
  <c r="I58" i="47"/>
  <c r="G59" i="47"/>
  <c r="I59" i="47"/>
  <c r="G60" i="47"/>
  <c r="I60" i="47"/>
  <c r="G61" i="47"/>
  <c r="I61" i="47"/>
  <c r="C63" i="47"/>
  <c r="C64" i="47"/>
  <c r="C66" i="47"/>
  <c r="G73" i="47"/>
  <c r="I73" i="47"/>
  <c r="G74" i="47"/>
  <c r="I74" i="47"/>
  <c r="G75" i="47"/>
  <c r="I75" i="47"/>
  <c r="G76" i="47"/>
  <c r="I76" i="47"/>
  <c r="G77" i="47"/>
  <c r="I77" i="47"/>
  <c r="C79" i="47"/>
  <c r="C80" i="47"/>
  <c r="C82" i="47"/>
  <c r="G89" i="47"/>
  <c r="I89" i="47"/>
  <c r="G90" i="47"/>
  <c r="I90" i="47"/>
  <c r="G91" i="47"/>
  <c r="I91" i="47"/>
  <c r="G92" i="47"/>
  <c r="I92" i="47"/>
  <c r="C94" i="47"/>
  <c r="C95" i="47"/>
  <c r="C97" i="47"/>
  <c r="G105" i="47"/>
  <c r="I105" i="47"/>
  <c r="G106" i="47"/>
  <c r="I106" i="47"/>
  <c r="G107" i="47"/>
  <c r="I107" i="47"/>
  <c r="G108" i="47"/>
  <c r="I108" i="47"/>
  <c r="G109" i="47"/>
  <c r="I109" i="47"/>
  <c r="C111" i="47"/>
  <c r="C112" i="47"/>
  <c r="C114" i="47"/>
  <c r="G121" i="47"/>
  <c r="I121" i="47"/>
  <c r="G122" i="47"/>
  <c r="I122" i="47"/>
  <c r="G123" i="47"/>
  <c r="I123" i="47"/>
  <c r="G124" i="47"/>
  <c r="I124" i="47"/>
  <c r="G125" i="47"/>
  <c r="I125" i="47"/>
  <c r="C127" i="47"/>
  <c r="C128" i="47"/>
  <c r="C130" i="47"/>
  <c r="G138" i="47"/>
  <c r="I138" i="47"/>
  <c r="G139" i="47"/>
  <c r="I139" i="47"/>
  <c r="G140" i="47"/>
  <c r="I140" i="47"/>
  <c r="G141" i="47"/>
  <c r="I141" i="47"/>
  <c r="G142" i="47"/>
  <c r="I142" i="47"/>
  <c r="I143" i="47"/>
  <c r="C144" i="47"/>
  <c r="C145" i="47"/>
  <c r="C147" i="47"/>
  <c r="G154" i="47"/>
  <c r="I154" i="47"/>
  <c r="G155" i="47"/>
  <c r="I155" i="47"/>
  <c r="G156" i="47"/>
  <c r="I156" i="47"/>
  <c r="G157" i="47"/>
  <c r="I157" i="47"/>
  <c r="G158" i="47"/>
  <c r="I158" i="47"/>
  <c r="E85" i="45"/>
  <c r="G170" i="47"/>
  <c r="I170" i="47"/>
  <c r="G171" i="47"/>
  <c r="I171" i="47"/>
  <c r="G172" i="47"/>
  <c r="I172" i="47"/>
  <c r="G173" i="47"/>
  <c r="I173" i="47"/>
  <c r="G174" i="47"/>
  <c r="I174" i="47"/>
  <c r="G175" i="47"/>
  <c r="I175" i="47"/>
  <c r="C177" i="47"/>
  <c r="C178" i="47"/>
  <c r="C180" i="47"/>
  <c r="F87" i="45"/>
  <c r="F88" i="45"/>
  <c r="F89" i="45"/>
  <c r="F90" i="45"/>
  <c r="F91" i="45"/>
  <c r="K17" i="24"/>
  <c r="K18" i="24"/>
  <c r="F7" i="45"/>
  <c r="F9" i="45"/>
  <c r="F11" i="45"/>
  <c r="F13" i="45"/>
  <c r="F15" i="45"/>
  <c r="F17" i="45"/>
  <c r="F19" i="45"/>
  <c r="F21" i="45"/>
  <c r="F23" i="45"/>
  <c r="F25" i="45"/>
  <c r="F27" i="45"/>
  <c r="F3" i="45"/>
  <c r="G29" i="24"/>
  <c r="F33" i="45"/>
  <c r="F35" i="45"/>
  <c r="F29" i="45"/>
  <c r="G30" i="24"/>
  <c r="K19" i="24"/>
  <c r="G76" i="24"/>
  <c r="K77" i="24"/>
  <c r="G11" i="24"/>
  <c r="K11" i="24"/>
  <c r="F45" i="45"/>
  <c r="F48" i="45"/>
  <c r="F51" i="45"/>
  <c r="F53" i="45"/>
  <c r="F57" i="45"/>
  <c r="G33" i="24"/>
  <c r="K33" i="24"/>
  <c r="F55" i="45"/>
  <c r="G32" i="24"/>
  <c r="K32" i="24"/>
  <c r="K34" i="24"/>
  <c r="I219" i="47"/>
  <c r="I220" i="47"/>
  <c r="I221" i="47"/>
  <c r="I222" i="47"/>
  <c r="I223" i="47"/>
  <c r="C224" i="47"/>
  <c r="C225" i="47"/>
  <c r="C227" i="47"/>
  <c r="F111" i="45"/>
  <c r="F112" i="45"/>
  <c r="K88" i="24"/>
  <c r="G70" i="24"/>
  <c r="K24" i="24"/>
  <c r="K45" i="24"/>
  <c r="K22" i="24"/>
  <c r="K91" i="24"/>
  <c r="K84" i="24"/>
  <c r="K94" i="24"/>
  <c r="R39" i="42"/>
  <c r="R40" i="42"/>
  <c r="E90" i="48"/>
  <c r="G90" i="48"/>
  <c r="E91" i="48"/>
  <c r="G91" i="48"/>
  <c r="E96" i="48"/>
  <c r="G96" i="48"/>
  <c r="E196" i="48"/>
  <c r="G196" i="48"/>
  <c r="E197" i="48"/>
  <c r="G197" i="48"/>
  <c r="E198" i="48"/>
  <c r="G198" i="48"/>
  <c r="E202" i="48"/>
  <c r="G202" i="48"/>
  <c r="E301" i="48"/>
  <c r="G301" i="48"/>
  <c r="E302" i="48"/>
  <c r="G302" i="48"/>
  <c r="E309" i="48"/>
  <c r="G309" i="48"/>
  <c r="E402" i="48"/>
  <c r="G402" i="48"/>
  <c r="E403" i="48"/>
  <c r="G403" i="48"/>
  <c r="E407" i="48"/>
  <c r="G407" i="48"/>
  <c r="E409" i="48"/>
  <c r="G409" i="48"/>
  <c r="E410" i="48"/>
  <c r="G410" i="48"/>
  <c r="E411" i="48"/>
  <c r="G411" i="48"/>
  <c r="E104" i="48"/>
  <c r="G104" i="48"/>
  <c r="E106" i="48"/>
  <c r="G106" i="48"/>
  <c r="E107" i="48"/>
  <c r="G107" i="48"/>
  <c r="E108" i="48"/>
  <c r="G108" i="48"/>
  <c r="E211" i="48"/>
  <c r="G211" i="48"/>
  <c r="E310" i="48"/>
  <c r="G310" i="48"/>
  <c r="E313" i="48"/>
  <c r="G313" i="48"/>
  <c r="E314" i="48"/>
  <c r="G314" i="48"/>
  <c r="E315" i="48"/>
  <c r="G315" i="48"/>
  <c r="E318" i="48"/>
  <c r="G318" i="48"/>
  <c r="E412" i="48"/>
  <c r="G412" i="48"/>
  <c r="E414" i="48"/>
  <c r="G414" i="48"/>
  <c r="E418" i="48"/>
  <c r="G418" i="48"/>
  <c r="E420" i="48"/>
  <c r="G420" i="48"/>
  <c r="E112" i="48"/>
  <c r="G112" i="48"/>
  <c r="E321" i="48"/>
  <c r="G321" i="48"/>
  <c r="E322" i="48"/>
  <c r="G322" i="48"/>
  <c r="E425" i="48"/>
  <c r="G425" i="48"/>
  <c r="E218" i="48"/>
  <c r="G218" i="48"/>
  <c r="E325" i="48"/>
  <c r="G325" i="48"/>
  <c r="E427" i="48"/>
  <c r="G427" i="48"/>
  <c r="E144" i="48"/>
  <c r="G144" i="48"/>
  <c r="E145" i="48"/>
  <c r="G145" i="48"/>
  <c r="E147" i="48"/>
  <c r="G147" i="48"/>
  <c r="E356" i="48"/>
  <c r="G356" i="48"/>
  <c r="E357" i="48"/>
  <c r="G357" i="48"/>
  <c r="E148" i="48"/>
  <c r="G148" i="48"/>
  <c r="I39" i="42"/>
  <c r="I40" i="42"/>
  <c r="I42" i="42"/>
  <c r="I43" i="42"/>
  <c r="I44" i="42"/>
  <c r="N43" i="42"/>
  <c r="N44" i="42"/>
  <c r="V42" i="42"/>
  <c r="E261" i="48"/>
  <c r="G261" i="48"/>
  <c r="V43" i="42"/>
  <c r="E262" i="48"/>
  <c r="G262" i="48"/>
  <c r="V44" i="42"/>
  <c r="E263" i="48"/>
  <c r="G263" i="48"/>
  <c r="Z39" i="42"/>
  <c r="Z40" i="42"/>
  <c r="E362" i="48"/>
  <c r="G362" i="48"/>
  <c r="Z42" i="42"/>
  <c r="Z43" i="42"/>
  <c r="Z44" i="42"/>
  <c r="E52" i="48"/>
  <c r="G52" i="48"/>
  <c r="E53" i="48"/>
  <c r="G53" i="48"/>
  <c r="E55" i="48"/>
  <c r="G55" i="48"/>
  <c r="E60" i="48"/>
  <c r="G60" i="48"/>
  <c r="E158" i="48"/>
  <c r="G158" i="48"/>
  <c r="E160" i="48"/>
  <c r="G160" i="48"/>
  <c r="E164" i="48"/>
  <c r="G164" i="48"/>
  <c r="E165" i="48"/>
  <c r="G165" i="48"/>
  <c r="E166" i="48"/>
  <c r="G166" i="48"/>
  <c r="E266" i="48"/>
  <c r="G266" i="48"/>
  <c r="E269" i="48"/>
  <c r="G269" i="48"/>
  <c r="E270" i="48"/>
  <c r="G270" i="48"/>
  <c r="E271" i="48"/>
  <c r="G271" i="48"/>
  <c r="E272" i="48"/>
  <c r="G272" i="48"/>
  <c r="E367" i="48"/>
  <c r="G367" i="48"/>
  <c r="E369" i="48"/>
  <c r="G369" i="48"/>
  <c r="E371" i="48"/>
  <c r="G371" i="48"/>
  <c r="E372" i="48"/>
  <c r="G372" i="48"/>
  <c r="E373" i="48"/>
  <c r="G373" i="48"/>
  <c r="E375" i="48"/>
  <c r="G375" i="48"/>
  <c r="E64" i="48"/>
  <c r="G64" i="48"/>
  <c r="E65" i="48"/>
  <c r="G65" i="48"/>
  <c r="E66" i="48"/>
  <c r="G66" i="48"/>
  <c r="E68" i="48"/>
  <c r="G68" i="48"/>
  <c r="E70" i="48"/>
  <c r="G70" i="48"/>
  <c r="E168" i="48"/>
  <c r="G168" i="48"/>
  <c r="E170" i="48"/>
  <c r="G170" i="48"/>
  <c r="E172" i="48"/>
  <c r="G172" i="48"/>
  <c r="E176" i="48"/>
  <c r="G176" i="48"/>
  <c r="E276" i="48"/>
  <c r="G276" i="48"/>
  <c r="E278" i="48"/>
  <c r="G278" i="48"/>
  <c r="E280" i="48"/>
  <c r="G280" i="48"/>
  <c r="E282" i="48"/>
  <c r="G282" i="48"/>
  <c r="E283" i="48"/>
  <c r="G283" i="48"/>
  <c r="E376" i="48"/>
  <c r="G376" i="48"/>
  <c r="E378" i="48"/>
  <c r="G378" i="48"/>
  <c r="E380" i="48"/>
  <c r="G380" i="48"/>
  <c r="E382" i="48"/>
  <c r="G382" i="48"/>
  <c r="E383" i="48"/>
  <c r="G383" i="48"/>
  <c r="E384" i="48"/>
  <c r="G384" i="48"/>
  <c r="E74" i="48"/>
  <c r="G74" i="48"/>
  <c r="E284" i="48"/>
  <c r="G284" i="48"/>
  <c r="E285" i="48"/>
  <c r="G285" i="48"/>
  <c r="E287" i="48"/>
  <c r="G287" i="48"/>
  <c r="E389" i="48"/>
  <c r="G389" i="48"/>
  <c r="E76" i="48"/>
  <c r="G76" i="48"/>
  <c r="E77" i="48"/>
  <c r="G77" i="48"/>
  <c r="E78" i="48"/>
  <c r="G78" i="48"/>
  <c r="E81" i="48"/>
  <c r="G81" i="48"/>
  <c r="E83" i="48"/>
  <c r="G83" i="48"/>
  <c r="E84" i="48"/>
  <c r="G84" i="48"/>
  <c r="E181" i="48"/>
  <c r="G181" i="48"/>
  <c r="E182" i="48"/>
  <c r="G182" i="48"/>
  <c r="E185" i="48"/>
  <c r="G185" i="48"/>
  <c r="E186" i="48"/>
  <c r="G186" i="48"/>
  <c r="E187" i="48"/>
  <c r="G187" i="48"/>
  <c r="E188" i="48"/>
  <c r="G188" i="48"/>
  <c r="E189" i="48"/>
  <c r="G189" i="48"/>
  <c r="E190" i="48"/>
  <c r="G190" i="48"/>
  <c r="E290" i="48"/>
  <c r="G290" i="48"/>
  <c r="E292" i="48"/>
  <c r="G292" i="48"/>
  <c r="E293" i="48"/>
  <c r="G293" i="48"/>
  <c r="E294" i="48"/>
  <c r="G294" i="48"/>
  <c r="E390" i="48"/>
  <c r="G390" i="48"/>
  <c r="E392" i="48"/>
  <c r="G392" i="48"/>
  <c r="E393" i="48"/>
  <c r="G393" i="48"/>
  <c r="E394" i="48"/>
  <c r="G394" i="48"/>
  <c r="E396" i="48"/>
  <c r="G396" i="48"/>
  <c r="E398" i="48"/>
  <c r="G398" i="48"/>
  <c r="E399" i="48"/>
  <c r="G399" i="48"/>
  <c r="I10" i="42"/>
  <c r="I11" i="42"/>
  <c r="I12" i="42"/>
  <c r="I13" i="42"/>
  <c r="I18" i="42"/>
  <c r="N18" i="42"/>
  <c r="E16" i="48"/>
  <c r="G16" i="48"/>
  <c r="R10" i="42"/>
  <c r="E118" i="48"/>
  <c r="R11" i="42"/>
  <c r="E119" i="48"/>
  <c r="R12" i="42"/>
  <c r="E120" i="48"/>
  <c r="G120" i="48"/>
  <c r="R13" i="42"/>
  <c r="E121" i="48"/>
  <c r="G121" i="48"/>
  <c r="R18" i="42"/>
  <c r="E122" i="48"/>
  <c r="G122" i="48"/>
  <c r="V18" i="42"/>
  <c r="E227" i="48"/>
  <c r="Z10" i="42"/>
  <c r="E330" i="48"/>
  <c r="G330" i="48"/>
  <c r="Z11" i="42"/>
  <c r="E331" i="48"/>
  <c r="G331" i="48"/>
  <c r="Z12" i="42"/>
  <c r="E332" i="48"/>
  <c r="Z13" i="42"/>
  <c r="Z18" i="42"/>
  <c r="E334" i="48"/>
  <c r="G334" i="48"/>
  <c r="I19" i="42"/>
  <c r="I20" i="42"/>
  <c r="I21" i="42"/>
  <c r="I22" i="42"/>
  <c r="I24" i="42"/>
  <c r="N21" i="42"/>
  <c r="E19" i="48"/>
  <c r="G19" i="48"/>
  <c r="N22" i="42"/>
  <c r="N24" i="42"/>
  <c r="E21" i="48"/>
  <c r="G21" i="48"/>
  <c r="R19" i="42"/>
  <c r="E123" i="48"/>
  <c r="G123" i="48"/>
  <c r="R20" i="42"/>
  <c r="E124" i="48"/>
  <c r="G124" i="48"/>
  <c r="R21" i="42"/>
  <c r="E125" i="48"/>
  <c r="G125" i="48"/>
  <c r="R22" i="42"/>
  <c r="E126" i="48"/>
  <c r="G126" i="48"/>
  <c r="R24" i="42"/>
  <c r="E127" i="48"/>
  <c r="G127" i="48"/>
  <c r="V21" i="42"/>
  <c r="E230" i="48"/>
  <c r="G230" i="48"/>
  <c r="V22" i="42"/>
  <c r="V24" i="42"/>
  <c r="E232" i="48"/>
  <c r="G232" i="48"/>
  <c r="Z19" i="42"/>
  <c r="E335" i="48"/>
  <c r="G335" i="48"/>
  <c r="Z20" i="42"/>
  <c r="E336" i="48"/>
  <c r="G336" i="48"/>
  <c r="Z21" i="42"/>
  <c r="E337" i="48"/>
  <c r="G337" i="48"/>
  <c r="Z22" i="42"/>
  <c r="E338" i="48"/>
  <c r="G338" i="48"/>
  <c r="Z24" i="42"/>
  <c r="E339" i="48"/>
  <c r="G339" i="48"/>
  <c r="E20" i="55"/>
  <c r="A44" i="54"/>
  <c r="A19" i="54"/>
  <c r="A14" i="54"/>
  <c r="A9" i="54"/>
  <c r="B79" i="54"/>
  <c r="A79" i="54"/>
  <c r="B77" i="54"/>
  <c r="A77" i="54"/>
  <c r="B72" i="54"/>
  <c r="A72" i="54"/>
  <c r="B68" i="54"/>
  <c r="A68" i="54"/>
  <c r="B67" i="54"/>
  <c r="A67" i="54"/>
  <c r="A31" i="54"/>
  <c r="B31" i="54"/>
  <c r="B30" i="54"/>
  <c r="A30" i="54"/>
  <c r="B19" i="54"/>
  <c r="B14" i="54"/>
  <c r="B8" i="54"/>
  <c r="A32" i="54"/>
  <c r="B32" i="54"/>
  <c r="E32" i="54"/>
  <c r="A33" i="54"/>
  <c r="B33" i="54"/>
  <c r="E33" i="54"/>
  <c r="A34" i="54"/>
  <c r="B34" i="54"/>
  <c r="E34" i="54"/>
  <c r="A35" i="54"/>
  <c r="B35" i="54"/>
  <c r="E35" i="54"/>
  <c r="C35" i="54"/>
  <c r="D35" i="54"/>
  <c r="A36" i="54"/>
  <c r="B36" i="54"/>
  <c r="E36" i="54"/>
  <c r="A37" i="54"/>
  <c r="B37" i="54"/>
  <c r="E37" i="54"/>
  <c r="A38" i="54"/>
  <c r="B38" i="54"/>
  <c r="E38" i="54"/>
  <c r="A39" i="54"/>
  <c r="B39" i="54"/>
  <c r="E39" i="54"/>
  <c r="A40" i="54"/>
  <c r="B40" i="54"/>
  <c r="E40" i="54"/>
  <c r="A41" i="54"/>
  <c r="B41" i="54"/>
  <c r="E41" i="54"/>
  <c r="A42" i="54"/>
  <c r="B42" i="54"/>
  <c r="E42" i="54"/>
  <c r="A43" i="54"/>
  <c r="B43" i="54"/>
  <c r="E43" i="54"/>
  <c r="B44" i="54"/>
  <c r="A45" i="54"/>
  <c r="B45" i="54"/>
  <c r="E45" i="54"/>
  <c r="A46" i="54"/>
  <c r="B46" i="54"/>
  <c r="E46" i="54"/>
  <c r="C46" i="54"/>
  <c r="A48" i="54"/>
  <c r="B48" i="54"/>
  <c r="E48" i="54"/>
  <c r="D48" i="54"/>
  <c r="A54" i="54"/>
  <c r="B54" i="54"/>
  <c r="E54" i="54"/>
  <c r="A51" i="54"/>
  <c r="B51" i="54"/>
  <c r="E51" i="54"/>
  <c r="A47" i="54"/>
  <c r="B47" i="54"/>
  <c r="E47" i="54"/>
  <c r="A49" i="54"/>
  <c r="B49" i="54"/>
  <c r="E49" i="54"/>
  <c r="C49" i="54"/>
  <c r="A52" i="54"/>
  <c r="B52" i="54"/>
  <c r="E52" i="54"/>
  <c r="C52" i="54"/>
  <c r="D52" i="54"/>
  <c r="A50" i="54"/>
  <c r="B50" i="54"/>
  <c r="E50" i="54"/>
  <c r="D50" i="54"/>
  <c r="A53" i="54"/>
  <c r="B53" i="54"/>
  <c r="E53" i="54"/>
  <c r="A56" i="54"/>
  <c r="B56" i="54"/>
  <c r="A57" i="54"/>
  <c r="B57" i="54"/>
  <c r="E57" i="54"/>
  <c r="A58" i="54"/>
  <c r="B58" i="54"/>
  <c r="E58" i="54"/>
  <c r="A59" i="54"/>
  <c r="B59" i="54"/>
  <c r="E59" i="54"/>
  <c r="A60" i="54"/>
  <c r="B60" i="54"/>
  <c r="E60" i="54"/>
  <c r="C60" i="54"/>
  <c r="D60" i="54"/>
  <c r="A61" i="54"/>
  <c r="B61" i="54"/>
  <c r="E61" i="54"/>
  <c r="C61" i="54"/>
  <c r="D61" i="54"/>
  <c r="A62" i="54"/>
  <c r="B62" i="54"/>
  <c r="A63" i="54"/>
  <c r="B63" i="54"/>
  <c r="E63" i="54"/>
  <c r="A64" i="54"/>
  <c r="B64" i="54"/>
  <c r="E64" i="54"/>
  <c r="C64" i="54"/>
  <c r="A65" i="54"/>
  <c r="B65" i="54"/>
  <c r="E65" i="54"/>
  <c r="C65" i="54"/>
  <c r="A66" i="54"/>
  <c r="B66" i="54"/>
  <c r="E66" i="54"/>
  <c r="A69" i="54"/>
  <c r="B69" i="54"/>
  <c r="E69" i="54"/>
  <c r="A71" i="54"/>
  <c r="B71" i="54"/>
  <c r="E71" i="54"/>
  <c r="A73" i="54"/>
  <c r="B73" i="54"/>
  <c r="E73" i="54"/>
  <c r="C73" i="54"/>
  <c r="A74" i="54"/>
  <c r="B74" i="54"/>
  <c r="E74" i="54"/>
  <c r="D74" i="54"/>
  <c r="C74" i="54"/>
  <c r="F74" i="54"/>
  <c r="A76" i="54"/>
  <c r="B76" i="54"/>
  <c r="E76" i="54"/>
  <c r="A78" i="54"/>
  <c r="B78" i="54"/>
  <c r="E78" i="54"/>
  <c r="A70" i="54"/>
  <c r="B70" i="54"/>
  <c r="E70" i="54"/>
  <c r="A75" i="54"/>
  <c r="B75" i="54"/>
  <c r="E75" i="54"/>
  <c r="A80" i="54"/>
  <c r="B80" i="54"/>
  <c r="E80" i="54"/>
  <c r="A81" i="54"/>
  <c r="B81" i="54"/>
  <c r="C81" i="54"/>
  <c r="D81" i="54"/>
  <c r="A20" i="54"/>
  <c r="B20" i="54"/>
  <c r="E20" i="54"/>
  <c r="A21" i="54"/>
  <c r="B21" i="54"/>
  <c r="E21" i="54"/>
  <c r="A22" i="54"/>
  <c r="B22" i="54"/>
  <c r="A23" i="54"/>
  <c r="B23" i="54"/>
  <c r="E23" i="54"/>
  <c r="C23" i="54"/>
  <c r="D23" i="54"/>
  <c r="A24" i="54"/>
  <c r="B24" i="54"/>
  <c r="E24" i="54"/>
  <c r="A25" i="54"/>
  <c r="B25" i="54"/>
  <c r="E25" i="54"/>
  <c r="A26" i="54"/>
  <c r="B26" i="54"/>
  <c r="A27" i="54"/>
  <c r="E27" i="54"/>
  <c r="D27" i="54"/>
  <c r="B28" i="54"/>
  <c r="E28" i="54"/>
  <c r="A29" i="54"/>
  <c r="B29" i="54"/>
  <c r="E29" i="54"/>
  <c r="C29" i="54"/>
  <c r="B9" i="54"/>
  <c r="A10" i="54"/>
  <c r="E10" i="54"/>
  <c r="D10" i="54"/>
  <c r="A11" i="54"/>
  <c r="B11" i="54"/>
  <c r="E11" i="54"/>
  <c r="D11" i="54"/>
  <c r="C11" i="54"/>
  <c r="A12" i="54"/>
  <c r="B12" i="54"/>
  <c r="E12" i="54"/>
  <c r="D12" i="54"/>
  <c r="A13" i="54"/>
  <c r="B13" i="54"/>
  <c r="E13" i="54"/>
  <c r="D13" i="54"/>
  <c r="C13" i="54"/>
  <c r="A15" i="54"/>
  <c r="B15" i="54"/>
  <c r="E15" i="54"/>
  <c r="D15" i="54"/>
  <c r="A16" i="54"/>
  <c r="B16" i="54"/>
  <c r="E16" i="54"/>
  <c r="A17" i="54"/>
  <c r="E17" i="54"/>
  <c r="D17" i="54"/>
  <c r="A18" i="54"/>
  <c r="B18" i="54"/>
  <c r="E18" i="54"/>
  <c r="D18" i="54"/>
  <c r="A104" i="54"/>
  <c r="B104" i="54"/>
  <c r="F104" i="54"/>
  <c r="A105" i="54"/>
  <c r="B105" i="54"/>
  <c r="F105" i="54"/>
  <c r="A2" i="53"/>
  <c r="C6" i="53"/>
  <c r="D6" i="53"/>
  <c r="E6" i="53"/>
  <c r="C17" i="53"/>
  <c r="D17" i="53"/>
  <c r="C29" i="53"/>
  <c r="D29" i="53"/>
  <c r="C46" i="53"/>
  <c r="D46" i="53"/>
  <c r="B48" i="53"/>
  <c r="B49" i="53"/>
  <c r="B47" i="53"/>
  <c r="W32" i="31"/>
  <c r="W31" i="31"/>
  <c r="W30" i="31"/>
  <c r="W29" i="31"/>
  <c r="W28" i="31"/>
  <c r="W24" i="31"/>
  <c r="W23" i="31"/>
  <c r="W22" i="31"/>
  <c r="W21" i="31"/>
  <c r="W20" i="31"/>
  <c r="I2" i="52"/>
  <c r="B6" i="52"/>
  <c r="B7" i="52"/>
  <c r="B8" i="52"/>
  <c r="B31" i="52"/>
  <c r="B9" i="52"/>
  <c r="B10" i="52"/>
  <c r="B11" i="52"/>
  <c r="B12" i="52"/>
  <c r="B42" i="52"/>
  <c r="B13" i="52"/>
  <c r="B14" i="52"/>
  <c r="B15" i="52"/>
  <c r="B16" i="52"/>
  <c r="B39" i="52"/>
  <c r="B17" i="52"/>
  <c r="B18" i="52"/>
  <c r="B54" i="52"/>
  <c r="B19" i="52"/>
  <c r="B61" i="52"/>
  <c r="B20" i="52"/>
  <c r="B21" i="52"/>
  <c r="B55" i="52"/>
  <c r="B29" i="52"/>
  <c r="C29" i="52"/>
  <c r="D29" i="52"/>
  <c r="E29" i="52"/>
  <c r="F29" i="52"/>
  <c r="G29" i="52"/>
  <c r="B30" i="52"/>
  <c r="C30" i="52"/>
  <c r="D30" i="52"/>
  <c r="E30" i="52"/>
  <c r="F30" i="52"/>
  <c r="G30" i="52"/>
  <c r="C31" i="52"/>
  <c r="D31" i="52"/>
  <c r="E31" i="52"/>
  <c r="F31" i="52"/>
  <c r="G31" i="52"/>
  <c r="B32" i="52"/>
  <c r="C32" i="52"/>
  <c r="D32" i="52"/>
  <c r="E32" i="52"/>
  <c r="F32" i="52"/>
  <c r="G32" i="52"/>
  <c r="B38" i="52"/>
  <c r="C38" i="52"/>
  <c r="D38" i="52"/>
  <c r="E38" i="52"/>
  <c r="F38" i="52"/>
  <c r="G38" i="52"/>
  <c r="C39" i="52"/>
  <c r="D39" i="52"/>
  <c r="E39" i="52"/>
  <c r="F39" i="52"/>
  <c r="G39" i="52"/>
  <c r="B40" i="52"/>
  <c r="C40" i="52"/>
  <c r="D40" i="52"/>
  <c r="E40" i="52"/>
  <c r="F40" i="52"/>
  <c r="G40" i="52"/>
  <c r="B41" i="52"/>
  <c r="C41" i="52"/>
  <c r="D41" i="52"/>
  <c r="E41" i="52"/>
  <c r="F41" i="52"/>
  <c r="G41" i="52"/>
  <c r="C42" i="52"/>
  <c r="D42" i="52"/>
  <c r="E42" i="52"/>
  <c r="F42" i="52"/>
  <c r="G42" i="52"/>
  <c r="B48" i="52"/>
  <c r="C48" i="52"/>
  <c r="D48" i="52"/>
  <c r="E48" i="52"/>
  <c r="F48" i="52"/>
  <c r="G48" i="52"/>
  <c r="C54" i="52"/>
  <c r="D54" i="52"/>
  <c r="E54" i="52"/>
  <c r="F54" i="52"/>
  <c r="G54" i="52"/>
  <c r="C55" i="52"/>
  <c r="D55" i="52"/>
  <c r="E55" i="52"/>
  <c r="F55" i="52"/>
  <c r="G55" i="52"/>
  <c r="C61" i="52"/>
  <c r="D61" i="52"/>
  <c r="E61" i="52"/>
  <c r="F61" i="52"/>
  <c r="G61" i="52"/>
  <c r="B62" i="52"/>
  <c r="C62" i="52"/>
  <c r="D62" i="52"/>
  <c r="E62" i="52"/>
  <c r="F62" i="52"/>
  <c r="G62" i="52"/>
  <c r="I2" i="51"/>
  <c r="B6" i="51"/>
  <c r="B29" i="51"/>
  <c r="B7" i="51"/>
  <c r="B30" i="51"/>
  <c r="B8" i="51"/>
  <c r="B31" i="51"/>
  <c r="B9" i="51"/>
  <c r="B10" i="51"/>
  <c r="B11" i="51"/>
  <c r="B12" i="51"/>
  <c r="B42" i="51"/>
  <c r="B13" i="51"/>
  <c r="B14" i="51"/>
  <c r="B15" i="51"/>
  <c r="B16" i="51"/>
  <c r="B39" i="51"/>
  <c r="B17" i="51"/>
  <c r="B18" i="51"/>
  <c r="B54" i="51"/>
  <c r="B19" i="51"/>
  <c r="B20" i="51"/>
  <c r="B62" i="51"/>
  <c r="B21" i="51"/>
  <c r="B55" i="51"/>
  <c r="C29" i="51"/>
  <c r="D29" i="51"/>
  <c r="E29" i="51"/>
  <c r="F29" i="51"/>
  <c r="G29" i="51"/>
  <c r="C30" i="51"/>
  <c r="D30" i="51"/>
  <c r="E30" i="51"/>
  <c r="F30" i="51"/>
  <c r="G30" i="51"/>
  <c r="C31" i="51"/>
  <c r="D31" i="51"/>
  <c r="E31" i="51"/>
  <c r="F31" i="51"/>
  <c r="G31" i="51"/>
  <c r="B32" i="51"/>
  <c r="C32" i="51"/>
  <c r="D32" i="51"/>
  <c r="E32" i="51"/>
  <c r="F32" i="51"/>
  <c r="G32" i="51"/>
  <c r="B38" i="51"/>
  <c r="C38" i="51"/>
  <c r="D38" i="51"/>
  <c r="E38" i="51"/>
  <c r="F38" i="51"/>
  <c r="G38" i="51"/>
  <c r="C39" i="51"/>
  <c r="D39" i="51"/>
  <c r="E39" i="51"/>
  <c r="F39" i="51"/>
  <c r="G39" i="51"/>
  <c r="B40" i="51"/>
  <c r="C40" i="51"/>
  <c r="D40" i="51"/>
  <c r="E40" i="51"/>
  <c r="F40" i="51"/>
  <c r="G40" i="51"/>
  <c r="B41" i="51"/>
  <c r="C41" i="51"/>
  <c r="D41" i="51"/>
  <c r="E41" i="51"/>
  <c r="F41" i="51"/>
  <c r="G41" i="51"/>
  <c r="C42" i="51"/>
  <c r="D42" i="51"/>
  <c r="E42" i="51"/>
  <c r="F42" i="51"/>
  <c r="G42" i="51"/>
  <c r="B48" i="51"/>
  <c r="C48" i="51"/>
  <c r="D48" i="51"/>
  <c r="E48" i="51"/>
  <c r="F48" i="51"/>
  <c r="G48" i="51"/>
  <c r="C54" i="51"/>
  <c r="D54" i="51"/>
  <c r="E54" i="51"/>
  <c r="F54" i="51"/>
  <c r="G54" i="51"/>
  <c r="C55" i="51"/>
  <c r="D55" i="51"/>
  <c r="E55" i="51"/>
  <c r="F55" i="51"/>
  <c r="G55" i="51"/>
  <c r="B61" i="51"/>
  <c r="C61" i="51"/>
  <c r="D61" i="51"/>
  <c r="E61" i="51"/>
  <c r="F61" i="51"/>
  <c r="G61" i="51"/>
  <c r="C62" i="51"/>
  <c r="D62" i="51"/>
  <c r="E62" i="51"/>
  <c r="F62" i="51"/>
  <c r="G62" i="51"/>
  <c r="B260" i="48"/>
  <c r="E260" i="48"/>
  <c r="G260" i="48"/>
  <c r="B256" i="48"/>
  <c r="B255" i="48"/>
  <c r="B240" i="48"/>
  <c r="B241" i="48"/>
  <c r="E241" i="48"/>
  <c r="G241" i="48"/>
  <c r="B136" i="48"/>
  <c r="B135" i="48"/>
  <c r="F220" i="48"/>
  <c r="E129" i="48"/>
  <c r="G129" i="48"/>
  <c r="E131" i="48"/>
  <c r="G131" i="48"/>
  <c r="E133" i="48"/>
  <c r="G133" i="48"/>
  <c r="E137" i="48"/>
  <c r="G137" i="48"/>
  <c r="E139" i="48"/>
  <c r="G139" i="48"/>
  <c r="E140" i="48"/>
  <c r="G140" i="48"/>
  <c r="E141" i="48"/>
  <c r="G141" i="48"/>
  <c r="E142" i="48"/>
  <c r="G142" i="48"/>
  <c r="E143" i="48"/>
  <c r="G143" i="48"/>
  <c r="E149" i="48"/>
  <c r="G149" i="48"/>
  <c r="E150" i="48"/>
  <c r="G150" i="48"/>
  <c r="E153" i="48"/>
  <c r="G153" i="48"/>
  <c r="E154" i="48"/>
  <c r="G154" i="48"/>
  <c r="E155" i="48"/>
  <c r="G155" i="48"/>
  <c r="E156" i="48"/>
  <c r="G156" i="48"/>
  <c r="E192" i="48"/>
  <c r="G192" i="48"/>
  <c r="E193" i="48"/>
  <c r="G193" i="48"/>
  <c r="E194" i="48"/>
  <c r="G194" i="48"/>
  <c r="E195" i="48"/>
  <c r="G195" i="48"/>
  <c r="E200" i="48"/>
  <c r="G200" i="48"/>
  <c r="E207" i="48"/>
  <c r="G207" i="48"/>
  <c r="B153" i="48"/>
  <c r="B100" i="48"/>
  <c r="B88" i="48"/>
  <c r="B47" i="48"/>
  <c r="E43" i="48"/>
  <c r="G43" i="48"/>
  <c r="E44" i="48"/>
  <c r="G44" i="48"/>
  <c r="B42" i="48"/>
  <c r="B43" i="48"/>
  <c r="B44" i="48"/>
  <c r="E49" i="48"/>
  <c r="G49" i="48"/>
  <c r="E97" i="48"/>
  <c r="G97" i="48"/>
  <c r="G13" i="47"/>
  <c r="G93" i="47"/>
  <c r="G110" i="47"/>
  <c r="G126" i="47"/>
  <c r="G143" i="47"/>
  <c r="G159" i="47"/>
  <c r="G176" i="47"/>
  <c r="G189" i="47"/>
  <c r="G190" i="47"/>
  <c r="I190" i="47"/>
  <c r="G191" i="47"/>
  <c r="I191" i="47"/>
  <c r="C193" i="47"/>
  <c r="C194" i="47"/>
  <c r="C196" i="47"/>
  <c r="I202" i="47"/>
  <c r="I203" i="47"/>
  <c r="I204" i="47"/>
  <c r="I205" i="47"/>
  <c r="I206" i="47"/>
  <c r="C208" i="47"/>
  <c r="I208" i="47"/>
  <c r="C207" i="47"/>
  <c r="C210" i="47"/>
  <c r="G223" i="47"/>
  <c r="G9" i="45"/>
  <c r="G17" i="45"/>
  <c r="G25" i="45"/>
  <c r="G7" i="45"/>
  <c r="G11" i="45"/>
  <c r="G13" i="45"/>
  <c r="G15" i="45"/>
  <c r="G19" i="45"/>
  <c r="G21" i="45"/>
  <c r="G23" i="45"/>
  <c r="G27" i="45"/>
  <c r="G33" i="45"/>
  <c r="G48" i="45"/>
  <c r="G51" i="45"/>
  <c r="G53" i="45"/>
  <c r="G57" i="45"/>
  <c r="F59" i="45"/>
  <c r="G59" i="45"/>
  <c r="F56" i="45"/>
  <c r="F66" i="45"/>
  <c r="G66" i="45"/>
  <c r="B68" i="45"/>
  <c r="G87" i="45"/>
  <c r="G88" i="45"/>
  <c r="G89" i="45"/>
  <c r="G90" i="45"/>
  <c r="G91" i="45"/>
  <c r="B76" i="45"/>
  <c r="B77" i="45"/>
  <c r="B78" i="45"/>
  <c r="B79" i="45"/>
  <c r="B80" i="45"/>
  <c r="B81" i="45"/>
  <c r="B82" i="45"/>
  <c r="B83" i="45"/>
  <c r="B84" i="45"/>
  <c r="B85" i="45"/>
  <c r="B86" i="45"/>
  <c r="F99" i="45"/>
  <c r="G99" i="45"/>
  <c r="F101" i="45"/>
  <c r="G111" i="45"/>
  <c r="G112" i="45"/>
  <c r="B110" i="45"/>
  <c r="AE5" i="1"/>
  <c r="AJ5" i="1"/>
  <c r="AE6" i="1"/>
  <c r="AJ6" i="1"/>
  <c r="AE7" i="1"/>
  <c r="AJ7" i="1"/>
  <c r="AE8" i="1"/>
  <c r="AJ8" i="1"/>
  <c r="AE9" i="1"/>
  <c r="AJ9" i="1"/>
  <c r="AE10" i="1"/>
  <c r="AJ10" i="1"/>
  <c r="AE11" i="1"/>
  <c r="AJ11" i="1"/>
  <c r="AE12" i="1"/>
  <c r="AJ12" i="1"/>
  <c r="AE13" i="1"/>
  <c r="AJ13" i="1"/>
  <c r="AE14" i="1"/>
  <c r="AJ14" i="1"/>
  <c r="AE15" i="1"/>
  <c r="AJ15" i="1"/>
  <c r="AE16" i="1"/>
  <c r="AJ16" i="1"/>
  <c r="AE17" i="1"/>
  <c r="AJ17" i="1"/>
  <c r="AE18" i="1"/>
  <c r="AJ18" i="1"/>
  <c r="W7" i="31"/>
  <c r="W8" i="31"/>
  <c r="W25" i="31"/>
  <c r="W26" i="31"/>
  <c r="W27" i="31"/>
  <c r="W33" i="31"/>
  <c r="W34" i="31"/>
  <c r="W35" i="31"/>
  <c r="W36" i="31"/>
  <c r="W37" i="31"/>
  <c r="W38" i="31"/>
  <c r="W39" i="31"/>
  <c r="W40" i="31"/>
  <c r="W41" i="31"/>
  <c r="B8" i="23"/>
  <c r="B44" i="23"/>
  <c r="B59" i="23"/>
  <c r="B81" i="23"/>
  <c r="B48" i="31"/>
  <c r="B82" i="23"/>
  <c r="B49" i="31"/>
  <c r="A8" i="25"/>
  <c r="B8" i="25"/>
  <c r="A9" i="25"/>
  <c r="B9" i="25"/>
  <c r="A10" i="25"/>
  <c r="B10" i="25"/>
  <c r="E10" i="25"/>
  <c r="A11" i="25"/>
  <c r="B11" i="25"/>
  <c r="E11" i="25"/>
  <c r="C11" i="25"/>
  <c r="D11" i="25"/>
  <c r="A12" i="25"/>
  <c r="B12" i="25"/>
  <c r="E12" i="25"/>
  <c r="A13" i="25"/>
  <c r="B13" i="25"/>
  <c r="E13" i="25"/>
  <c r="C13" i="25"/>
  <c r="A14" i="25"/>
  <c r="B14" i="25"/>
  <c r="E14" i="25"/>
  <c r="A15" i="25"/>
  <c r="B15" i="25"/>
  <c r="E15" i="25"/>
  <c r="A16" i="25"/>
  <c r="B16" i="25"/>
  <c r="E16" i="25"/>
  <c r="A17" i="25"/>
  <c r="B17" i="25"/>
  <c r="E17" i="25"/>
  <c r="A18" i="25"/>
  <c r="B18" i="25"/>
  <c r="E18" i="25"/>
  <c r="A19" i="25"/>
  <c r="B19" i="25"/>
  <c r="E19" i="25"/>
  <c r="A20" i="25"/>
  <c r="B20" i="25"/>
  <c r="E20" i="25"/>
  <c r="A21" i="25"/>
  <c r="B21" i="25"/>
  <c r="E21" i="25"/>
  <c r="A22" i="25"/>
  <c r="B22" i="25"/>
  <c r="A23" i="25"/>
  <c r="B23" i="25"/>
  <c r="E23" i="25"/>
  <c r="C23" i="25"/>
  <c r="A24" i="25"/>
  <c r="B24" i="25"/>
  <c r="E24" i="25"/>
  <c r="C24" i="25"/>
  <c r="A25" i="25"/>
  <c r="B25" i="25"/>
  <c r="E25" i="25"/>
  <c r="C25" i="25"/>
  <c r="D25" i="25"/>
  <c r="A26" i="25"/>
  <c r="B26" i="25"/>
  <c r="E26" i="25"/>
  <c r="C26" i="25"/>
  <c r="A27" i="25"/>
  <c r="B27" i="25"/>
  <c r="E27" i="25"/>
  <c r="D27" i="25"/>
  <c r="A28" i="25"/>
  <c r="B28" i="25"/>
  <c r="E28" i="25"/>
  <c r="C28" i="25"/>
  <c r="A29" i="25"/>
  <c r="B29" i="25"/>
  <c r="E29" i="25"/>
  <c r="C29" i="25"/>
  <c r="A30" i="25"/>
  <c r="B30" i="25"/>
  <c r="E30" i="25"/>
  <c r="C30" i="25"/>
  <c r="A31" i="25"/>
  <c r="B31" i="25"/>
  <c r="E31" i="25"/>
  <c r="A32" i="25"/>
  <c r="B32" i="25"/>
  <c r="E32" i="25"/>
  <c r="C32" i="25"/>
  <c r="A33" i="25"/>
  <c r="B33" i="25"/>
  <c r="A34" i="25"/>
  <c r="B34" i="25"/>
  <c r="E34" i="25"/>
  <c r="A35" i="25"/>
  <c r="B35" i="25"/>
  <c r="E35" i="25"/>
  <c r="C35" i="25"/>
  <c r="A36" i="25"/>
  <c r="B36" i="25"/>
  <c r="E36" i="25"/>
  <c r="A37" i="25"/>
  <c r="B37" i="25"/>
  <c r="E37" i="25"/>
  <c r="C37" i="25"/>
  <c r="A38" i="25"/>
  <c r="B38" i="25"/>
  <c r="E38" i="25"/>
  <c r="A39" i="25"/>
  <c r="B39" i="25"/>
  <c r="A40" i="25"/>
  <c r="B40" i="25"/>
  <c r="E40" i="25"/>
  <c r="C40" i="25"/>
  <c r="A41" i="25"/>
  <c r="B41" i="25"/>
  <c r="E41" i="25"/>
  <c r="A42" i="25"/>
  <c r="B42" i="25"/>
  <c r="E42" i="25"/>
  <c r="C42" i="25"/>
  <c r="D42" i="25"/>
  <c r="A43" i="25"/>
  <c r="B43" i="25"/>
  <c r="E43" i="25"/>
  <c r="C43" i="25"/>
  <c r="D43" i="25"/>
  <c r="A44" i="25"/>
  <c r="B44" i="25"/>
  <c r="A45" i="25"/>
  <c r="B45" i="25"/>
  <c r="A46" i="25"/>
  <c r="B46" i="25"/>
  <c r="E46" i="25"/>
  <c r="D46" i="25"/>
  <c r="A47" i="25"/>
  <c r="B47" i="25"/>
  <c r="E47" i="25"/>
  <c r="C47" i="25"/>
  <c r="A48" i="25"/>
  <c r="B48" i="25"/>
  <c r="A49" i="25"/>
  <c r="B49" i="25"/>
  <c r="E49" i="25"/>
  <c r="C49" i="25"/>
  <c r="A50" i="25"/>
  <c r="B50" i="25"/>
  <c r="E50" i="25"/>
  <c r="C50" i="25"/>
  <c r="D50" i="25"/>
  <c r="A51" i="25"/>
  <c r="B51" i="25"/>
  <c r="E51" i="25"/>
  <c r="D51" i="25"/>
  <c r="A52" i="25"/>
  <c r="B52" i="25"/>
  <c r="A53" i="25"/>
  <c r="B53" i="25"/>
  <c r="E53" i="25"/>
  <c r="A54" i="25"/>
  <c r="B54" i="25"/>
  <c r="E54" i="25"/>
  <c r="D54" i="25"/>
  <c r="C54" i="25"/>
  <c r="A55" i="25"/>
  <c r="B55" i="25"/>
  <c r="E55" i="25"/>
  <c r="C55" i="25"/>
  <c r="D55" i="25"/>
  <c r="A56" i="25"/>
  <c r="B56" i="25"/>
  <c r="A57" i="25"/>
  <c r="B57" i="25"/>
  <c r="E57" i="25"/>
  <c r="D57" i="25"/>
  <c r="C57" i="25"/>
  <c r="A58" i="25"/>
  <c r="B58" i="25"/>
  <c r="C58" i="25"/>
  <c r="D58" i="25"/>
  <c r="A59" i="25"/>
  <c r="B59" i="25"/>
  <c r="A60" i="25"/>
  <c r="B60" i="25"/>
  <c r="A61" i="25"/>
  <c r="B61" i="25"/>
  <c r="E61" i="25"/>
  <c r="C61" i="25"/>
  <c r="A62" i="25"/>
  <c r="B62" i="25"/>
  <c r="E62" i="25"/>
  <c r="A63" i="25"/>
  <c r="B63" i="25"/>
  <c r="A64" i="25"/>
  <c r="B64" i="25"/>
  <c r="E64" i="25"/>
  <c r="A65" i="25"/>
  <c r="B65" i="25"/>
  <c r="E65" i="25"/>
  <c r="D65" i="25"/>
  <c r="C65" i="25"/>
  <c r="A66" i="25"/>
  <c r="B66" i="25"/>
  <c r="E66" i="25"/>
  <c r="A67" i="25"/>
  <c r="B67" i="25"/>
  <c r="A68" i="25"/>
  <c r="E68" i="25"/>
  <c r="A69" i="25"/>
  <c r="B69" i="25"/>
  <c r="E69" i="25"/>
  <c r="D69" i="25"/>
  <c r="A70" i="25"/>
  <c r="B70" i="25"/>
  <c r="E70" i="25"/>
  <c r="A71" i="25"/>
  <c r="B71" i="25"/>
  <c r="A72" i="25"/>
  <c r="E72" i="25"/>
  <c r="A73" i="25"/>
  <c r="B73" i="25"/>
  <c r="E73" i="25"/>
  <c r="D73" i="25"/>
  <c r="C73" i="25"/>
  <c r="A74" i="25"/>
  <c r="B74" i="25"/>
  <c r="E74" i="25"/>
  <c r="D74" i="25"/>
  <c r="C74" i="25"/>
  <c r="A75" i="25"/>
  <c r="B75" i="25"/>
  <c r="E75" i="25"/>
  <c r="C75" i="25"/>
  <c r="D75" i="25"/>
  <c r="A76" i="25"/>
  <c r="B76" i="25"/>
  <c r="A77" i="25"/>
  <c r="E77" i="25"/>
  <c r="C77" i="25"/>
  <c r="D77" i="25"/>
  <c r="A78" i="25"/>
  <c r="B78" i="25"/>
  <c r="E78" i="25"/>
  <c r="C78" i="25"/>
  <c r="A79" i="25"/>
  <c r="E79" i="25"/>
  <c r="A80" i="25"/>
  <c r="B80" i="25"/>
  <c r="E80" i="25"/>
  <c r="C80" i="25"/>
  <c r="A81" i="25"/>
  <c r="B81" i="25"/>
  <c r="F81" i="25"/>
  <c r="A82" i="25"/>
  <c r="B82" i="25"/>
  <c r="F82" i="25"/>
  <c r="F4" i="35"/>
  <c r="F20" i="35"/>
  <c r="F36" i="35"/>
  <c r="B6" i="35"/>
  <c r="J7" i="34"/>
  <c r="D6" i="35"/>
  <c r="E6" i="35"/>
  <c r="F6" i="35"/>
  <c r="B7" i="35"/>
  <c r="J8" i="34"/>
  <c r="D7" i="35"/>
  <c r="E7" i="35"/>
  <c r="F7" i="35"/>
  <c r="B8" i="35"/>
  <c r="J9" i="34"/>
  <c r="D8" i="35"/>
  <c r="E8" i="35"/>
  <c r="F8" i="35"/>
  <c r="B9" i="35"/>
  <c r="J10" i="34"/>
  <c r="D9" i="35"/>
  <c r="E9" i="35"/>
  <c r="F9" i="35"/>
  <c r="B10" i="35"/>
  <c r="J11" i="34"/>
  <c r="D10" i="35"/>
  <c r="E10" i="35"/>
  <c r="F10" i="35"/>
  <c r="B11" i="35"/>
  <c r="J12" i="34"/>
  <c r="D11" i="35"/>
  <c r="E11" i="35"/>
  <c r="F11" i="35"/>
  <c r="B12" i="35"/>
  <c r="J13" i="34"/>
  <c r="D12" i="35"/>
  <c r="E12" i="35"/>
  <c r="F12" i="35"/>
  <c r="B13" i="35"/>
  <c r="J14" i="34"/>
  <c r="D13" i="35"/>
  <c r="E13" i="35"/>
  <c r="F13" i="35"/>
  <c r="B14" i="35"/>
  <c r="J15" i="34"/>
  <c r="D14" i="35"/>
  <c r="E14" i="35"/>
  <c r="F14" i="35"/>
  <c r="B15" i="35"/>
  <c r="J16" i="34"/>
  <c r="D15" i="35"/>
  <c r="E15" i="35"/>
  <c r="F15" i="35"/>
  <c r="D20" i="35"/>
  <c r="D36" i="35"/>
  <c r="B22" i="35"/>
  <c r="D22" i="35"/>
  <c r="E22" i="35"/>
  <c r="F22" i="35"/>
  <c r="B23" i="35"/>
  <c r="D23" i="35"/>
  <c r="E23" i="35"/>
  <c r="F23" i="35"/>
  <c r="B24" i="35"/>
  <c r="D24" i="35"/>
  <c r="E24" i="35"/>
  <c r="F24" i="35"/>
  <c r="B25" i="35"/>
  <c r="D25" i="35"/>
  <c r="E25" i="35"/>
  <c r="F25" i="35"/>
  <c r="B26" i="35"/>
  <c r="D26" i="35"/>
  <c r="E26" i="35"/>
  <c r="F26" i="35"/>
  <c r="B27" i="35"/>
  <c r="D27" i="35"/>
  <c r="E27" i="35"/>
  <c r="F27" i="35"/>
  <c r="B28" i="35"/>
  <c r="D28" i="35"/>
  <c r="E28" i="35"/>
  <c r="F28" i="35"/>
  <c r="B29" i="35"/>
  <c r="D29" i="35"/>
  <c r="E29" i="35"/>
  <c r="F29" i="35"/>
  <c r="B30" i="35"/>
  <c r="D30" i="35"/>
  <c r="E30" i="35"/>
  <c r="F30" i="35"/>
  <c r="B31" i="35"/>
  <c r="D31" i="35"/>
  <c r="E31" i="35"/>
  <c r="F31" i="35"/>
  <c r="K7" i="34"/>
  <c r="K8" i="34"/>
  <c r="K9" i="34"/>
  <c r="K10" i="34"/>
  <c r="K11" i="34"/>
  <c r="K12" i="34"/>
  <c r="K13" i="34"/>
  <c r="K14" i="34"/>
  <c r="K15" i="34"/>
  <c r="K16" i="34"/>
  <c r="J17" i="34"/>
  <c r="K17" i="34"/>
  <c r="J18" i="34"/>
  <c r="K18" i="34"/>
  <c r="J19" i="34"/>
  <c r="K19" i="34"/>
  <c r="J20" i="34"/>
  <c r="K20" i="34"/>
  <c r="J21" i="34"/>
  <c r="K21" i="34"/>
  <c r="K29" i="34"/>
  <c r="K30" i="34"/>
  <c r="K31" i="34"/>
  <c r="K32" i="34"/>
  <c r="K33" i="34"/>
  <c r="K34" i="34"/>
  <c r="K35" i="34"/>
  <c r="K36" i="34"/>
  <c r="K37" i="34"/>
  <c r="K38" i="34"/>
  <c r="K39" i="34"/>
  <c r="K40" i="34"/>
  <c r="K41" i="34"/>
  <c r="K42" i="34"/>
  <c r="K43" i="34"/>
  <c r="K56" i="34"/>
  <c r="K57" i="34"/>
  <c r="K58" i="34"/>
  <c r="K59" i="34"/>
  <c r="K60" i="34"/>
  <c r="K61" i="34"/>
  <c r="K62" i="34"/>
  <c r="K63" i="34"/>
  <c r="K64" i="34"/>
  <c r="K65" i="34"/>
  <c r="K66" i="34"/>
  <c r="K67" i="34"/>
  <c r="K68" i="34"/>
  <c r="K69" i="34"/>
  <c r="K70" i="34"/>
  <c r="K80" i="34"/>
  <c r="K81" i="34"/>
  <c r="K82" i="34"/>
  <c r="K83" i="34"/>
  <c r="K84" i="34"/>
  <c r="K85" i="34"/>
  <c r="K86" i="34"/>
  <c r="K87" i="34"/>
  <c r="K88" i="34"/>
  <c r="K89" i="34"/>
  <c r="K90" i="34"/>
  <c r="K91" i="34"/>
  <c r="K92" i="34"/>
  <c r="K93" i="34"/>
  <c r="K94" i="34"/>
  <c r="K109" i="34"/>
  <c r="K110" i="34"/>
  <c r="K111" i="34"/>
  <c r="K112" i="34"/>
  <c r="K113" i="34"/>
  <c r="K114" i="34"/>
  <c r="K115" i="34"/>
  <c r="K116" i="34"/>
  <c r="K117" i="34"/>
  <c r="K118" i="34"/>
  <c r="K119" i="34"/>
  <c r="K120" i="34"/>
  <c r="K121" i="34"/>
  <c r="K122" i="34"/>
  <c r="K123" i="34"/>
  <c r="K130" i="34"/>
  <c r="K131" i="34"/>
  <c r="K132" i="34"/>
  <c r="K133" i="34"/>
  <c r="K134" i="34"/>
  <c r="K135" i="34"/>
  <c r="K136" i="34"/>
  <c r="K137" i="34"/>
  <c r="K138" i="34"/>
  <c r="K139" i="34"/>
  <c r="K140" i="34"/>
  <c r="K141" i="34"/>
  <c r="K142" i="34"/>
  <c r="K143" i="34"/>
  <c r="K144" i="34"/>
  <c r="I2" i="28"/>
  <c r="B6" i="28"/>
  <c r="B7" i="28"/>
  <c r="B30" i="28"/>
  <c r="B8" i="28"/>
  <c r="B31" i="28"/>
  <c r="B9" i="28"/>
  <c r="B10" i="28"/>
  <c r="B11" i="28"/>
  <c r="B41" i="28"/>
  <c r="B12" i="28"/>
  <c r="B13" i="28"/>
  <c r="B38" i="28"/>
  <c r="B14" i="28"/>
  <c r="B15" i="28"/>
  <c r="B16" i="28"/>
  <c r="B39" i="28"/>
  <c r="B17" i="28"/>
  <c r="B40" i="28"/>
  <c r="B18" i="28"/>
  <c r="B19" i="28"/>
  <c r="B61" i="28"/>
  <c r="B20" i="28"/>
  <c r="B21" i="28"/>
  <c r="B29" i="28"/>
  <c r="C29" i="28"/>
  <c r="D29" i="28"/>
  <c r="E29" i="28"/>
  <c r="F29" i="28"/>
  <c r="G29" i="28"/>
  <c r="C30" i="28"/>
  <c r="D30" i="28"/>
  <c r="E30" i="28"/>
  <c r="F30" i="28"/>
  <c r="G30" i="28"/>
  <c r="C31" i="28"/>
  <c r="D31" i="28"/>
  <c r="E31" i="28"/>
  <c r="F31" i="28"/>
  <c r="G31" i="28"/>
  <c r="C32" i="28"/>
  <c r="D32" i="28"/>
  <c r="E32" i="28"/>
  <c r="F32" i="28"/>
  <c r="G32" i="28"/>
  <c r="C38" i="28"/>
  <c r="D38" i="28"/>
  <c r="E38" i="28"/>
  <c r="F38" i="28"/>
  <c r="G38" i="28"/>
  <c r="C39" i="28"/>
  <c r="D39" i="28"/>
  <c r="E39" i="28"/>
  <c r="F39" i="28"/>
  <c r="G39" i="28"/>
  <c r="C40" i="28"/>
  <c r="D40" i="28"/>
  <c r="E40" i="28"/>
  <c r="F40" i="28"/>
  <c r="G40" i="28"/>
  <c r="C41" i="28"/>
  <c r="D41" i="28"/>
  <c r="E41" i="28"/>
  <c r="F41" i="28"/>
  <c r="G41" i="28"/>
  <c r="B42" i="28"/>
  <c r="C42" i="28"/>
  <c r="D42" i="28"/>
  <c r="E42" i="28"/>
  <c r="F42" i="28"/>
  <c r="G42" i="28"/>
  <c r="B48" i="28"/>
  <c r="C48" i="28"/>
  <c r="D48" i="28"/>
  <c r="E48" i="28"/>
  <c r="F48" i="28"/>
  <c r="G48" i="28"/>
  <c r="B54" i="28"/>
  <c r="C54" i="28"/>
  <c r="D54" i="28"/>
  <c r="E54" i="28"/>
  <c r="F54" i="28"/>
  <c r="G54" i="28"/>
  <c r="B55" i="28"/>
  <c r="C55" i="28"/>
  <c r="D55" i="28"/>
  <c r="E55" i="28"/>
  <c r="F55" i="28"/>
  <c r="G55" i="28"/>
  <c r="C61" i="28"/>
  <c r="D61" i="28"/>
  <c r="E61" i="28"/>
  <c r="F61" i="28"/>
  <c r="G61" i="28"/>
  <c r="B62" i="28"/>
  <c r="C62" i="28"/>
  <c r="D62" i="28"/>
  <c r="E62" i="28"/>
  <c r="F62" i="28"/>
  <c r="G62" i="28"/>
  <c r="A2" i="37"/>
  <c r="C7" i="37"/>
  <c r="D7" i="37"/>
  <c r="E7" i="37"/>
  <c r="A2" i="36"/>
  <c r="C7" i="36"/>
  <c r="D7" i="36"/>
  <c r="E7" i="36"/>
  <c r="A2" i="29"/>
  <c r="C7" i="29"/>
  <c r="D7" i="29"/>
  <c r="E7" i="29"/>
  <c r="A8" i="29"/>
  <c r="A2" i="27"/>
  <c r="C6" i="27"/>
  <c r="D6" i="27"/>
  <c r="E6" i="27"/>
  <c r="C17" i="27"/>
  <c r="D17" i="27"/>
  <c r="E17" i="27"/>
  <c r="C29" i="27"/>
  <c r="D29" i="27"/>
  <c r="E29" i="27"/>
  <c r="C46" i="27"/>
  <c r="D46" i="27"/>
  <c r="E46" i="27"/>
  <c r="A47" i="27"/>
  <c r="B47" i="27"/>
  <c r="A48" i="27"/>
  <c r="B48" i="27"/>
  <c r="A49" i="27"/>
  <c r="B49" i="27"/>
  <c r="H4" i="23"/>
  <c r="V4" i="23"/>
  <c r="V7" i="23"/>
  <c r="W7" i="23"/>
  <c r="X7" i="23"/>
  <c r="A8" i="23"/>
  <c r="C8" i="23"/>
  <c r="E8" i="23"/>
  <c r="A9" i="23"/>
  <c r="B9" i="23"/>
  <c r="C9" i="23"/>
  <c r="E9" i="23"/>
  <c r="D9" i="23"/>
  <c r="A10" i="23"/>
  <c r="B10" i="23"/>
  <c r="C10" i="23"/>
  <c r="E10" i="23"/>
  <c r="D10" i="23"/>
  <c r="A11" i="23"/>
  <c r="B11" i="23"/>
  <c r="C11" i="23"/>
  <c r="E11" i="23"/>
  <c r="D11" i="23"/>
  <c r="A12" i="23"/>
  <c r="B12" i="23"/>
  <c r="C12" i="23"/>
  <c r="E12" i="23"/>
  <c r="A13" i="23"/>
  <c r="B13" i="23"/>
  <c r="C13" i="23"/>
  <c r="D13" i="23"/>
  <c r="E13" i="23"/>
  <c r="A14" i="23"/>
  <c r="B14" i="23"/>
  <c r="C14" i="23"/>
  <c r="E14" i="23"/>
  <c r="D14" i="23"/>
  <c r="A15" i="23"/>
  <c r="B15" i="23"/>
  <c r="C15" i="23"/>
  <c r="E15" i="23"/>
  <c r="D15" i="23"/>
  <c r="A16" i="23"/>
  <c r="B16" i="23"/>
  <c r="C16" i="23"/>
  <c r="E16" i="23"/>
  <c r="A17" i="23"/>
  <c r="B17" i="23"/>
  <c r="C17" i="23"/>
  <c r="D17" i="23"/>
  <c r="E17" i="23"/>
  <c r="A18" i="23"/>
  <c r="B18" i="23"/>
  <c r="C18" i="23"/>
  <c r="D18" i="23"/>
  <c r="E18" i="23"/>
  <c r="A19" i="23"/>
  <c r="B19" i="23"/>
  <c r="C19" i="23"/>
  <c r="D19" i="23"/>
  <c r="E19" i="23"/>
  <c r="A20" i="23"/>
  <c r="B20" i="23"/>
  <c r="C20" i="23"/>
  <c r="D20" i="23"/>
  <c r="E20" i="23"/>
  <c r="A21" i="23"/>
  <c r="B21" i="23"/>
  <c r="C21" i="23"/>
  <c r="E21" i="23"/>
  <c r="D21" i="23"/>
  <c r="A22" i="23"/>
  <c r="B22" i="23"/>
  <c r="C22" i="23"/>
  <c r="E22" i="23"/>
  <c r="D22" i="23"/>
  <c r="A23" i="23"/>
  <c r="B23" i="23"/>
  <c r="C23" i="23"/>
  <c r="E23" i="23"/>
  <c r="A24" i="23"/>
  <c r="B24" i="23"/>
  <c r="C24" i="23"/>
  <c r="E24" i="23"/>
  <c r="A25" i="23"/>
  <c r="B25" i="23"/>
  <c r="C25" i="23"/>
  <c r="E25" i="23"/>
  <c r="D25" i="23"/>
  <c r="A26" i="23"/>
  <c r="B26" i="23"/>
  <c r="C26" i="23"/>
  <c r="E26" i="23"/>
  <c r="A27" i="23"/>
  <c r="B27" i="23"/>
  <c r="C27" i="23"/>
  <c r="E27" i="23"/>
  <c r="A28" i="23"/>
  <c r="B28" i="23"/>
  <c r="C28" i="23"/>
  <c r="E28" i="23"/>
  <c r="D28" i="23"/>
  <c r="A29" i="23"/>
  <c r="B29" i="23"/>
  <c r="C29" i="23"/>
  <c r="E29" i="23"/>
  <c r="D29" i="23"/>
  <c r="A30" i="23"/>
  <c r="B30" i="23"/>
  <c r="C30" i="23"/>
  <c r="E30" i="23"/>
  <c r="D30" i="23"/>
  <c r="A31" i="23"/>
  <c r="B31" i="23"/>
  <c r="C31" i="23"/>
  <c r="E31" i="23"/>
  <c r="A32" i="23"/>
  <c r="B32" i="23"/>
  <c r="C32" i="23"/>
  <c r="E32" i="23"/>
  <c r="D32" i="23"/>
  <c r="A34" i="23"/>
  <c r="B34" i="23"/>
  <c r="C34" i="23"/>
  <c r="E34" i="23"/>
  <c r="D34" i="23"/>
  <c r="A35" i="23"/>
  <c r="B35" i="23"/>
  <c r="C35" i="23"/>
  <c r="E35" i="23"/>
  <c r="A36" i="23"/>
  <c r="B36" i="23"/>
  <c r="C36" i="23"/>
  <c r="E36" i="23"/>
  <c r="D36" i="23"/>
  <c r="A37" i="23"/>
  <c r="B37" i="23"/>
  <c r="C37" i="23"/>
  <c r="D37" i="23"/>
  <c r="E37" i="23"/>
  <c r="A38" i="23"/>
  <c r="B38" i="23"/>
  <c r="C38" i="23"/>
  <c r="D38" i="23"/>
  <c r="E38" i="23"/>
  <c r="A40" i="23"/>
  <c r="B40" i="23"/>
  <c r="C40" i="23"/>
  <c r="E40" i="23"/>
  <c r="D40" i="23"/>
  <c r="A41" i="23"/>
  <c r="B41" i="23"/>
  <c r="C41" i="23"/>
  <c r="E41" i="23"/>
  <c r="D41" i="23"/>
  <c r="A42" i="23"/>
  <c r="B42" i="23"/>
  <c r="C42" i="23"/>
  <c r="D42" i="23"/>
  <c r="E42" i="23"/>
  <c r="A43" i="23"/>
  <c r="B43" i="23"/>
  <c r="C43" i="23"/>
  <c r="D43" i="23"/>
  <c r="E43" i="23"/>
  <c r="A44" i="23"/>
  <c r="C44" i="23"/>
  <c r="E44" i="23"/>
  <c r="A45" i="23"/>
  <c r="B45" i="23"/>
  <c r="C45" i="23"/>
  <c r="E45" i="23"/>
  <c r="D45" i="23"/>
  <c r="A46" i="23"/>
  <c r="B46" i="23"/>
  <c r="C46" i="23"/>
  <c r="E46" i="23"/>
  <c r="D46" i="23"/>
  <c r="A47" i="23"/>
  <c r="B47" i="23"/>
  <c r="C47" i="23"/>
  <c r="E47" i="23"/>
  <c r="D47" i="23"/>
  <c r="A48" i="23"/>
  <c r="B48" i="23"/>
  <c r="C48" i="23"/>
  <c r="E48" i="23"/>
  <c r="D48" i="23"/>
  <c r="A49" i="23"/>
  <c r="B49" i="23"/>
  <c r="C49" i="23"/>
  <c r="E49" i="23"/>
  <c r="D49" i="23"/>
  <c r="A50" i="23"/>
  <c r="B50" i="23"/>
  <c r="C50" i="23"/>
  <c r="E50" i="23"/>
  <c r="D50" i="23"/>
  <c r="A51" i="23"/>
  <c r="B51" i="23"/>
  <c r="C51" i="23"/>
  <c r="E51" i="23"/>
  <c r="A52" i="23"/>
  <c r="B52" i="23"/>
  <c r="C52" i="23"/>
  <c r="E52" i="23"/>
  <c r="A53" i="23"/>
  <c r="B53" i="23"/>
  <c r="C53" i="23"/>
  <c r="E53" i="23"/>
  <c r="D53" i="23"/>
  <c r="A54" i="23"/>
  <c r="B54" i="23"/>
  <c r="C54" i="23"/>
  <c r="E54" i="23"/>
  <c r="A55" i="23"/>
  <c r="B55" i="23"/>
  <c r="C55" i="23"/>
  <c r="E55" i="23"/>
  <c r="A56" i="23"/>
  <c r="B56" i="23"/>
  <c r="C56" i="23"/>
  <c r="E56" i="23"/>
  <c r="D56" i="23"/>
  <c r="A57" i="23"/>
  <c r="B57" i="23"/>
  <c r="C57" i="23"/>
  <c r="D57" i="23"/>
  <c r="E57" i="23"/>
  <c r="A58" i="23"/>
  <c r="C58" i="23"/>
  <c r="E58" i="23"/>
  <c r="A59" i="23"/>
  <c r="C59" i="23"/>
  <c r="E59" i="23"/>
  <c r="E81" i="23"/>
  <c r="E82" i="23"/>
  <c r="E84" i="23"/>
  <c r="A60" i="23"/>
  <c r="B60" i="23"/>
  <c r="C60" i="23"/>
  <c r="E60" i="23"/>
  <c r="D60" i="23"/>
  <c r="A61" i="23"/>
  <c r="B61" i="23"/>
  <c r="C61" i="23"/>
  <c r="E61" i="23"/>
  <c r="D61" i="23"/>
  <c r="A62" i="23"/>
  <c r="B62" i="23"/>
  <c r="C62" i="23"/>
  <c r="E62" i="23"/>
  <c r="D62" i="23"/>
  <c r="A63" i="23"/>
  <c r="B63" i="23"/>
  <c r="C63" i="23"/>
  <c r="E63" i="23"/>
  <c r="D63" i="23"/>
  <c r="A64" i="23"/>
  <c r="B64" i="23"/>
  <c r="C64" i="23"/>
  <c r="E64" i="23"/>
  <c r="D64" i="23"/>
  <c r="A65" i="23"/>
  <c r="B65" i="23"/>
  <c r="C65" i="23"/>
  <c r="E65" i="23"/>
  <c r="A66" i="23"/>
  <c r="B66" i="23"/>
  <c r="C66" i="23"/>
  <c r="E66" i="23"/>
  <c r="D66" i="23"/>
  <c r="A67" i="23"/>
  <c r="B67" i="23"/>
  <c r="C67" i="23"/>
  <c r="E67" i="23"/>
  <c r="D67" i="23"/>
  <c r="A68" i="23"/>
  <c r="C68" i="23"/>
  <c r="E68" i="23"/>
  <c r="D68" i="23"/>
  <c r="B69" i="23"/>
  <c r="C69" i="23"/>
  <c r="E69" i="23"/>
  <c r="A70" i="23"/>
  <c r="B70" i="23"/>
  <c r="C70" i="23"/>
  <c r="E70" i="23"/>
  <c r="D70" i="23"/>
  <c r="A71" i="23"/>
  <c r="B71" i="23"/>
  <c r="C71" i="23"/>
  <c r="E71" i="23"/>
  <c r="D71" i="23"/>
  <c r="A72" i="23"/>
  <c r="C72" i="23"/>
  <c r="E72" i="23"/>
  <c r="A73" i="23"/>
  <c r="B73" i="23"/>
  <c r="C73" i="23"/>
  <c r="E73" i="23"/>
  <c r="D73" i="23"/>
  <c r="A74" i="23"/>
  <c r="B74" i="23"/>
  <c r="C74" i="23"/>
  <c r="E74" i="23"/>
  <c r="A75" i="23"/>
  <c r="B75" i="23"/>
  <c r="C75" i="23"/>
  <c r="E75" i="23"/>
  <c r="D75" i="23"/>
  <c r="A76" i="23"/>
  <c r="B76" i="23"/>
  <c r="C76" i="23"/>
  <c r="E76" i="23"/>
  <c r="A77" i="23"/>
  <c r="C77" i="23"/>
  <c r="E77" i="23"/>
  <c r="D77" i="23"/>
  <c r="A78" i="23"/>
  <c r="B78" i="23"/>
  <c r="C78" i="23"/>
  <c r="E78" i="23"/>
  <c r="D78" i="23"/>
  <c r="A79" i="23"/>
  <c r="B79" i="23"/>
  <c r="C79" i="23"/>
  <c r="E79" i="23"/>
  <c r="D79" i="23"/>
  <c r="A80" i="23"/>
  <c r="B80" i="23"/>
  <c r="C80" i="23"/>
  <c r="E80" i="23"/>
  <c r="D80" i="23"/>
  <c r="A81" i="23"/>
  <c r="C81" i="23"/>
  <c r="D81" i="23"/>
  <c r="A82" i="23"/>
  <c r="C82" i="23"/>
  <c r="D82" i="23"/>
  <c r="A2" i="49"/>
  <c r="C7" i="49"/>
  <c r="D7" i="49"/>
  <c r="D19" i="49"/>
  <c r="E7" i="49"/>
  <c r="B12" i="49"/>
  <c r="C18" i="49"/>
  <c r="C30" i="49"/>
  <c r="B20" i="49"/>
  <c r="B44" i="49"/>
  <c r="B56" i="49"/>
  <c r="E128" i="48"/>
  <c r="G128" i="48"/>
  <c r="E130" i="48"/>
  <c r="G130" i="48"/>
  <c r="E132" i="48"/>
  <c r="G132" i="48"/>
  <c r="E134" i="48"/>
  <c r="G134" i="48"/>
  <c r="E342" i="48"/>
  <c r="G342" i="48"/>
  <c r="B21" i="49"/>
  <c r="B45" i="49"/>
  <c r="B57" i="49"/>
  <c r="E354" i="48"/>
  <c r="G354" i="48"/>
  <c r="E146" i="48"/>
  <c r="G146" i="48"/>
  <c r="E355" i="48"/>
  <c r="G355" i="48"/>
  <c r="E358" i="48"/>
  <c r="G358" i="48"/>
  <c r="E57" i="48"/>
  <c r="G57" i="48"/>
  <c r="E157" i="48"/>
  <c r="G157" i="48"/>
  <c r="E159" i="48"/>
  <c r="G159" i="48"/>
  <c r="E161" i="48"/>
  <c r="G161" i="48"/>
  <c r="E162" i="48"/>
  <c r="G162" i="48"/>
  <c r="E163" i="48"/>
  <c r="G163" i="48"/>
  <c r="E366" i="48"/>
  <c r="G366" i="48"/>
  <c r="E370" i="48"/>
  <c r="G370" i="48"/>
  <c r="E374" i="48"/>
  <c r="G374" i="48"/>
  <c r="E167" i="48"/>
  <c r="G167" i="48"/>
  <c r="E169" i="48"/>
  <c r="G169" i="48"/>
  <c r="E171" i="48"/>
  <c r="G171" i="48"/>
  <c r="E173" i="48"/>
  <c r="G173" i="48"/>
  <c r="E174" i="48"/>
  <c r="G174" i="48"/>
  <c r="E175" i="48"/>
  <c r="G175" i="48"/>
  <c r="E179" i="48"/>
  <c r="G179" i="48"/>
  <c r="E180" i="48"/>
  <c r="G180" i="48"/>
  <c r="E388" i="48"/>
  <c r="G388" i="48"/>
  <c r="E183" i="48"/>
  <c r="G183" i="48"/>
  <c r="E184" i="48"/>
  <c r="G184" i="48"/>
  <c r="E288" i="48"/>
  <c r="G288" i="48"/>
  <c r="E296" i="48"/>
  <c r="G296" i="48"/>
  <c r="B22" i="49"/>
  <c r="B46" i="49"/>
  <c r="B58" i="49"/>
  <c r="E199" i="48"/>
  <c r="G199" i="48"/>
  <c r="E201" i="48"/>
  <c r="G201" i="48"/>
  <c r="E306" i="48"/>
  <c r="G306" i="48"/>
  <c r="E203" i="48"/>
  <c r="G203" i="48"/>
  <c r="E204" i="48"/>
  <c r="G204" i="48"/>
  <c r="E208" i="48"/>
  <c r="G208" i="48"/>
  <c r="E209" i="48"/>
  <c r="G209" i="48"/>
  <c r="E210" i="48"/>
  <c r="G210" i="48"/>
  <c r="E212" i="48"/>
  <c r="G212" i="48"/>
  <c r="E317" i="48"/>
  <c r="G317" i="48"/>
  <c r="E413" i="48"/>
  <c r="G413" i="48"/>
  <c r="E417" i="48"/>
  <c r="G417" i="48"/>
  <c r="E421" i="48"/>
  <c r="G421" i="48"/>
  <c r="E214" i="48"/>
  <c r="G214" i="48"/>
  <c r="E215" i="48"/>
  <c r="G215" i="48"/>
  <c r="E216" i="48"/>
  <c r="G216" i="48"/>
  <c r="E320" i="48"/>
  <c r="G320" i="48"/>
  <c r="E422" i="48"/>
  <c r="G422" i="48"/>
  <c r="E217" i="48"/>
  <c r="G217" i="48"/>
  <c r="E324" i="48"/>
  <c r="G324" i="48"/>
  <c r="B23" i="49"/>
  <c r="B47" i="49"/>
  <c r="B59" i="49"/>
  <c r="B24" i="49"/>
  <c r="D31" i="49"/>
  <c r="A32" i="49"/>
  <c r="B32" i="49"/>
  <c r="A33" i="49"/>
  <c r="B33" i="49"/>
  <c r="A34" i="49"/>
  <c r="A58" i="49"/>
  <c r="B34" i="49"/>
  <c r="A35" i="49"/>
  <c r="A59" i="49"/>
  <c r="B35" i="49"/>
  <c r="A36" i="49"/>
  <c r="B36" i="49"/>
  <c r="C42" i="49"/>
  <c r="D43" i="49"/>
  <c r="A44" i="49"/>
  <c r="A45" i="49"/>
  <c r="A46" i="49"/>
  <c r="A47" i="49"/>
  <c r="A48" i="49"/>
  <c r="B48" i="49"/>
  <c r="B60" i="49"/>
  <c r="C54" i="49"/>
  <c r="D55" i="49"/>
  <c r="A56" i="49"/>
  <c r="A57" i="49"/>
  <c r="A60" i="49"/>
  <c r="A2" i="26"/>
  <c r="C7" i="26"/>
  <c r="C31" i="26"/>
  <c r="D7" i="26"/>
  <c r="E7" i="26"/>
  <c r="E55" i="26"/>
  <c r="A8" i="26"/>
  <c r="A20" i="26"/>
  <c r="A44" i="26"/>
  <c r="B8" i="26"/>
  <c r="A9" i="26"/>
  <c r="A33" i="26"/>
  <c r="A57" i="26"/>
  <c r="B9" i="26"/>
  <c r="B21" i="26"/>
  <c r="B45" i="26"/>
  <c r="B57" i="26"/>
  <c r="A10" i="26"/>
  <c r="B10" i="26"/>
  <c r="B22" i="26"/>
  <c r="B46" i="26"/>
  <c r="B58" i="26"/>
  <c r="B11" i="26"/>
  <c r="B12" i="26"/>
  <c r="B36" i="26"/>
  <c r="C18" i="26"/>
  <c r="C30" i="26"/>
  <c r="C19" i="26"/>
  <c r="B20" i="26"/>
  <c r="B44" i="26"/>
  <c r="B56" i="26"/>
  <c r="A21" i="26"/>
  <c r="A22" i="26"/>
  <c r="A46" i="26"/>
  <c r="A32" i="26"/>
  <c r="A56" i="26"/>
  <c r="B32" i="26"/>
  <c r="B33" i="26"/>
  <c r="A34" i="26"/>
  <c r="A58" i="26"/>
  <c r="B34" i="26"/>
  <c r="A35" i="26"/>
  <c r="A36" i="26"/>
  <c r="A60" i="26"/>
  <c r="C42" i="26"/>
  <c r="C43" i="26"/>
  <c r="A45" i="26"/>
  <c r="A47" i="26"/>
  <c r="A48" i="26"/>
  <c r="C54" i="26"/>
  <c r="C55" i="26"/>
  <c r="A59" i="26"/>
  <c r="H1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H7" i="24"/>
  <c r="H8" i="24"/>
  <c r="H9" i="24"/>
  <c r="H10" i="24"/>
  <c r="M10" i="24"/>
  <c r="N10" i="24"/>
  <c r="H14" i="24"/>
  <c r="G16" i="24"/>
  <c r="H16" i="24"/>
  <c r="K16" i="24"/>
  <c r="H17" i="24"/>
  <c r="H18" i="24"/>
  <c r="H19" i="24"/>
  <c r="C21" i="24"/>
  <c r="K23" i="24"/>
  <c r="H24" i="24"/>
  <c r="H28" i="24"/>
  <c r="C43" i="24"/>
  <c r="H43" i="24"/>
  <c r="H45" i="24"/>
  <c r="H50" i="24"/>
  <c r="K50" i="24"/>
  <c r="H51" i="24"/>
  <c r="K51" i="24"/>
  <c r="H60" i="24"/>
  <c r="K60" i="24"/>
  <c r="H61" i="24"/>
  <c r="H66" i="24"/>
  <c r="H67" i="24"/>
  <c r="H68" i="24"/>
  <c r="H69" i="24"/>
  <c r="H77" i="24"/>
  <c r="H81" i="24"/>
  <c r="K81" i="24"/>
  <c r="H82" i="24"/>
  <c r="K82" i="24"/>
  <c r="K87" i="24"/>
  <c r="E9" i="48"/>
  <c r="F9" i="48"/>
  <c r="G9" i="48"/>
  <c r="B12" i="48"/>
  <c r="B13" i="48"/>
  <c r="B14" i="48"/>
  <c r="B15" i="48"/>
  <c r="E15" i="48"/>
  <c r="G15" i="48"/>
  <c r="B16" i="48"/>
  <c r="B17" i="48"/>
  <c r="B18" i="48"/>
  <c r="E18" i="48"/>
  <c r="G18" i="48"/>
  <c r="B19" i="48"/>
  <c r="B20" i="48"/>
  <c r="E20" i="48"/>
  <c r="G20" i="48"/>
  <c r="B21" i="48"/>
  <c r="B22" i="48"/>
  <c r="B23" i="48"/>
  <c r="B24" i="48"/>
  <c r="B25" i="48"/>
  <c r="B26" i="48"/>
  <c r="B27" i="48"/>
  <c r="B28" i="48"/>
  <c r="B29" i="48"/>
  <c r="E29" i="48"/>
  <c r="G29" i="48"/>
  <c r="B30" i="48"/>
  <c r="E30" i="48"/>
  <c r="G30" i="48"/>
  <c r="B31" i="48"/>
  <c r="E31" i="48"/>
  <c r="G31" i="48"/>
  <c r="B32" i="48"/>
  <c r="E32" i="48"/>
  <c r="G32" i="48"/>
  <c r="B33" i="48"/>
  <c r="E33" i="48"/>
  <c r="G33" i="48"/>
  <c r="B34" i="48"/>
  <c r="E34" i="48"/>
  <c r="G34" i="48"/>
  <c r="B35" i="48"/>
  <c r="B36" i="48"/>
  <c r="B37" i="48"/>
  <c r="B38" i="48"/>
  <c r="B39" i="48"/>
  <c r="E39" i="48"/>
  <c r="G39" i="48"/>
  <c r="B40" i="48"/>
  <c r="B41" i="48"/>
  <c r="B45" i="48"/>
  <c r="B46" i="48"/>
  <c r="B48" i="48"/>
  <c r="B49" i="48"/>
  <c r="B50" i="48"/>
  <c r="E50" i="48"/>
  <c r="G50" i="48"/>
  <c r="B51" i="48"/>
  <c r="B52" i="48"/>
  <c r="B53" i="48"/>
  <c r="B54" i="48"/>
  <c r="E54" i="48"/>
  <c r="G54" i="48"/>
  <c r="B55" i="48"/>
  <c r="B56" i="48"/>
  <c r="E56" i="48"/>
  <c r="G56" i="48"/>
  <c r="B57" i="48"/>
  <c r="B58" i="48"/>
  <c r="E58" i="48"/>
  <c r="G58" i="48"/>
  <c r="B59" i="48"/>
  <c r="E59" i="48"/>
  <c r="G59" i="48"/>
  <c r="B60" i="48"/>
  <c r="B61" i="48"/>
  <c r="B62" i="48"/>
  <c r="B63" i="48"/>
  <c r="E63" i="48"/>
  <c r="G63" i="48"/>
  <c r="B64" i="48"/>
  <c r="B65" i="48"/>
  <c r="B66" i="48"/>
  <c r="B67" i="48"/>
  <c r="E67" i="48"/>
  <c r="G67" i="48"/>
  <c r="B68" i="48"/>
  <c r="B69" i="48"/>
  <c r="E69" i="48"/>
  <c r="G69" i="48"/>
  <c r="B70" i="48"/>
  <c r="B71" i="48"/>
  <c r="B72" i="48"/>
  <c r="B73" i="48"/>
  <c r="B74" i="48"/>
  <c r="B75" i="48"/>
  <c r="B76" i="48"/>
  <c r="B77" i="48"/>
  <c r="B78" i="48"/>
  <c r="B79" i="48"/>
  <c r="E79" i="48"/>
  <c r="G79" i="48"/>
  <c r="B80" i="48"/>
  <c r="E80" i="48"/>
  <c r="G80" i="48"/>
  <c r="B81" i="48"/>
  <c r="B82" i="48"/>
  <c r="E82" i="48"/>
  <c r="G82" i="48"/>
  <c r="B83" i="48"/>
  <c r="B84" i="48"/>
  <c r="B85" i="48"/>
  <c r="E85" i="48"/>
  <c r="G85" i="48"/>
  <c r="B86" i="48"/>
  <c r="E86" i="48"/>
  <c r="G86" i="48"/>
  <c r="B87" i="48"/>
  <c r="B89" i="48"/>
  <c r="B90" i="48"/>
  <c r="B91" i="48"/>
  <c r="B92" i="48"/>
  <c r="E92" i="48"/>
  <c r="G92" i="48"/>
  <c r="B93" i="48"/>
  <c r="E93" i="48"/>
  <c r="G93" i="48"/>
  <c r="B94" i="48"/>
  <c r="E94" i="48"/>
  <c r="G94" i="48"/>
  <c r="B95" i="48"/>
  <c r="E95" i="48"/>
  <c r="G95" i="48"/>
  <c r="B96" i="48"/>
  <c r="B97" i="48"/>
  <c r="B98" i="48"/>
  <c r="B99" i="48"/>
  <c r="B101" i="48"/>
  <c r="B102" i="48"/>
  <c r="B103" i="48"/>
  <c r="E103" i="48"/>
  <c r="G103" i="48"/>
  <c r="B104" i="48"/>
  <c r="B105" i="48"/>
  <c r="E105" i="48"/>
  <c r="G105" i="48"/>
  <c r="B106" i="48"/>
  <c r="B107" i="48"/>
  <c r="B108" i="48"/>
  <c r="B109" i="48"/>
  <c r="B110" i="48"/>
  <c r="B111" i="48"/>
  <c r="E111" i="48"/>
  <c r="G111" i="48"/>
  <c r="B112" i="48"/>
  <c r="B113" i="48"/>
  <c r="F115" i="48"/>
  <c r="B118" i="48"/>
  <c r="B119" i="48"/>
  <c r="B120" i="48"/>
  <c r="B121" i="48"/>
  <c r="B122" i="48"/>
  <c r="B123" i="48"/>
  <c r="B124" i="48"/>
  <c r="B125" i="48"/>
  <c r="B126" i="48"/>
  <c r="B127" i="48"/>
  <c r="B128" i="48"/>
  <c r="B129" i="48"/>
  <c r="B130" i="48"/>
  <c r="B131" i="48"/>
  <c r="B132" i="48"/>
  <c r="B133" i="48"/>
  <c r="B134" i="48"/>
  <c r="B137" i="48"/>
  <c r="B138" i="48"/>
  <c r="E138" i="48"/>
  <c r="G138" i="48"/>
  <c r="B139" i="48"/>
  <c r="B140" i="48"/>
  <c r="B141" i="48"/>
  <c r="B142" i="48"/>
  <c r="B143" i="48"/>
  <c r="B144" i="48"/>
  <c r="B145" i="48"/>
  <c r="B146" i="48"/>
  <c r="B147" i="48"/>
  <c r="B148" i="48"/>
  <c r="B149" i="48"/>
  <c r="B150" i="48"/>
  <c r="B151" i="48"/>
  <c r="B152" i="48"/>
  <c r="B154" i="48"/>
  <c r="B155" i="48"/>
  <c r="B156" i="48"/>
  <c r="B157" i="48"/>
  <c r="B158" i="48"/>
  <c r="B159" i="48"/>
  <c r="B160" i="48"/>
  <c r="B161" i="48"/>
  <c r="B162" i="48"/>
  <c r="B163" i="48"/>
  <c r="B164" i="48"/>
  <c r="B165" i="48"/>
  <c r="B166" i="48"/>
  <c r="B167" i="48"/>
  <c r="B168" i="48"/>
  <c r="B169" i="48"/>
  <c r="B170" i="48"/>
  <c r="B171" i="48"/>
  <c r="B172" i="48"/>
  <c r="B173" i="48"/>
  <c r="B174" i="48"/>
  <c r="B175" i="48"/>
  <c r="B176" i="48"/>
  <c r="B177" i="48"/>
  <c r="B178" i="48"/>
  <c r="B179" i="48"/>
  <c r="B180" i="48"/>
  <c r="B181" i="48"/>
  <c r="B182" i="48"/>
  <c r="B183" i="48"/>
  <c r="B184" i="48"/>
  <c r="B185" i="48"/>
  <c r="B186" i="48"/>
  <c r="B187" i="48"/>
  <c r="B188" i="48"/>
  <c r="B189" i="48"/>
  <c r="B190" i="48"/>
  <c r="B191" i="48"/>
  <c r="B192" i="48"/>
  <c r="B193" i="48"/>
  <c r="B194" i="48"/>
  <c r="B195" i="48"/>
  <c r="B196" i="48"/>
  <c r="B197" i="48"/>
  <c r="B198" i="48"/>
  <c r="B199" i="48"/>
  <c r="B200" i="48"/>
  <c r="B201" i="48"/>
  <c r="B202" i="48"/>
  <c r="B203" i="48"/>
  <c r="B204" i="48"/>
  <c r="B205" i="48"/>
  <c r="B206" i="48"/>
  <c r="B207" i="48"/>
  <c r="B208" i="48"/>
  <c r="B209" i="48"/>
  <c r="B210" i="48"/>
  <c r="B211" i="48"/>
  <c r="B212" i="48"/>
  <c r="B213" i="48"/>
  <c r="B214" i="48"/>
  <c r="B215" i="48"/>
  <c r="B216" i="48"/>
  <c r="B217" i="48"/>
  <c r="B218" i="48"/>
  <c r="B223" i="48"/>
  <c r="B224" i="48"/>
  <c r="B225" i="48"/>
  <c r="B226" i="48"/>
  <c r="E226" i="48"/>
  <c r="G226" i="48"/>
  <c r="B227" i="48"/>
  <c r="B228" i="48"/>
  <c r="B229" i="48"/>
  <c r="E229" i="48"/>
  <c r="G229" i="48"/>
  <c r="B230" i="48"/>
  <c r="B231" i="48"/>
  <c r="E231" i="48"/>
  <c r="G231" i="48"/>
  <c r="B232" i="48"/>
  <c r="B233" i="48"/>
  <c r="B234" i="48"/>
  <c r="B235" i="48"/>
  <c r="B236" i="48"/>
  <c r="B237" i="48"/>
  <c r="E237" i="48"/>
  <c r="G237" i="48"/>
  <c r="B238" i="48"/>
  <c r="E238" i="48"/>
  <c r="G238" i="48"/>
  <c r="B239" i="48"/>
  <c r="E239" i="48"/>
  <c r="G239" i="48"/>
  <c r="B242" i="48"/>
  <c r="E242" i="48"/>
  <c r="G242" i="48"/>
  <c r="B243" i="48"/>
  <c r="E243" i="48"/>
  <c r="G243" i="48"/>
  <c r="B244" i="48"/>
  <c r="E244" i="48"/>
  <c r="G244" i="48"/>
  <c r="B245" i="48"/>
  <c r="E245" i="48"/>
  <c r="G245" i="48"/>
  <c r="B246" i="48"/>
  <c r="E246" i="48"/>
  <c r="G246" i="48"/>
  <c r="B247" i="48"/>
  <c r="E247" i="48"/>
  <c r="G247" i="48"/>
  <c r="B248" i="48"/>
  <c r="B249" i="48"/>
  <c r="B250" i="48"/>
  <c r="B251" i="48"/>
  <c r="E251" i="48"/>
  <c r="G251" i="48"/>
  <c r="B252" i="48"/>
  <c r="E252" i="48"/>
  <c r="G252" i="48"/>
  <c r="B253" i="48"/>
  <c r="B254" i="48"/>
  <c r="B257" i="48"/>
  <c r="E257" i="48"/>
  <c r="G257" i="48"/>
  <c r="B258" i="48"/>
  <c r="B259" i="48"/>
  <c r="E259" i="48"/>
  <c r="G259" i="48"/>
  <c r="B261" i="48"/>
  <c r="B262" i="48"/>
  <c r="B263" i="48"/>
  <c r="B264" i="48"/>
  <c r="E264" i="48"/>
  <c r="G264" i="48"/>
  <c r="B265" i="48"/>
  <c r="E265" i="48"/>
  <c r="G265" i="48"/>
  <c r="B266" i="48"/>
  <c r="B267" i="48"/>
  <c r="E267" i="48"/>
  <c r="G267" i="48"/>
  <c r="B268" i="48"/>
  <c r="E268" i="48"/>
  <c r="G268" i="48"/>
  <c r="B269" i="48"/>
  <c r="B270" i="48"/>
  <c r="B271" i="48"/>
  <c r="B272" i="48"/>
  <c r="B273" i="48"/>
  <c r="E273" i="48"/>
  <c r="G273" i="48"/>
  <c r="B274" i="48"/>
  <c r="B275" i="48"/>
  <c r="E275" i="48"/>
  <c r="G275" i="48"/>
  <c r="B276" i="48"/>
  <c r="B277" i="48"/>
  <c r="E277" i="48"/>
  <c r="G277" i="48"/>
  <c r="B278" i="48"/>
  <c r="B279" i="48"/>
  <c r="E279" i="48"/>
  <c r="G279" i="48"/>
  <c r="B280" i="48"/>
  <c r="B281" i="48"/>
  <c r="E281" i="48"/>
  <c r="G281" i="48"/>
  <c r="B282" i="48"/>
  <c r="B283" i="48"/>
  <c r="B284" i="48"/>
  <c r="B285" i="48"/>
  <c r="B286" i="48"/>
  <c r="E286" i="48"/>
  <c r="G286" i="48"/>
  <c r="B287" i="48"/>
  <c r="B288" i="48"/>
  <c r="B289" i="48"/>
  <c r="E289" i="48"/>
  <c r="G289" i="48"/>
  <c r="B290" i="48"/>
  <c r="B291" i="48"/>
  <c r="E291" i="48"/>
  <c r="G291" i="48"/>
  <c r="B292" i="48"/>
  <c r="B293" i="48"/>
  <c r="B294" i="48"/>
  <c r="B295" i="48"/>
  <c r="E295" i="48"/>
  <c r="G295" i="48"/>
  <c r="B296" i="48"/>
  <c r="B297" i="48"/>
  <c r="E297" i="48"/>
  <c r="G297" i="48"/>
  <c r="B298" i="48"/>
  <c r="E298" i="48"/>
  <c r="G298" i="48"/>
  <c r="B299" i="48"/>
  <c r="E299" i="48"/>
  <c r="G299" i="48"/>
  <c r="B300" i="48"/>
  <c r="E300" i="48"/>
  <c r="G300" i="48"/>
  <c r="B301" i="48"/>
  <c r="B302" i="48"/>
  <c r="B303" i="48"/>
  <c r="E303" i="48"/>
  <c r="G303" i="48"/>
  <c r="B304" i="48"/>
  <c r="E304" i="48"/>
  <c r="G304" i="48"/>
  <c r="B305" i="48"/>
  <c r="E305" i="48"/>
  <c r="G305" i="48"/>
  <c r="B306" i="48"/>
  <c r="B307" i="48"/>
  <c r="E307" i="48"/>
  <c r="G307" i="48"/>
  <c r="B308" i="48"/>
  <c r="E308" i="48"/>
  <c r="G308" i="48"/>
  <c r="B309" i="48"/>
  <c r="B310" i="48"/>
  <c r="B311" i="48"/>
  <c r="B312" i="48"/>
  <c r="B313" i="48"/>
  <c r="B314" i="48"/>
  <c r="B315" i="48"/>
  <c r="B316" i="48"/>
  <c r="E316" i="48"/>
  <c r="G316" i="48"/>
  <c r="B317" i="48"/>
  <c r="B318" i="48"/>
  <c r="B319" i="48"/>
  <c r="E319" i="48"/>
  <c r="G319" i="48"/>
  <c r="B320" i="48"/>
  <c r="B321" i="48"/>
  <c r="B322" i="48"/>
  <c r="B323" i="48"/>
  <c r="E323" i="48"/>
  <c r="G323" i="48"/>
  <c r="B324" i="48"/>
  <c r="B325" i="48"/>
  <c r="F327" i="48"/>
  <c r="F429" i="48"/>
  <c r="F431" i="48"/>
  <c r="B330" i="48"/>
  <c r="B331" i="48"/>
  <c r="B332" i="48"/>
  <c r="B333" i="48"/>
  <c r="E333" i="48"/>
  <c r="G333" i="48"/>
  <c r="B334" i="48"/>
  <c r="B335" i="48"/>
  <c r="B336" i="48"/>
  <c r="B337" i="48"/>
  <c r="B338" i="48"/>
  <c r="B339" i="48"/>
  <c r="B340" i="48"/>
  <c r="E340" i="48"/>
  <c r="G340" i="48"/>
  <c r="B341" i="48"/>
  <c r="E341" i="48"/>
  <c r="G341" i="48"/>
  <c r="B342" i="48"/>
  <c r="B343" i="48"/>
  <c r="E343" i="48"/>
  <c r="G343" i="48"/>
  <c r="B344" i="48"/>
  <c r="E344" i="48"/>
  <c r="G344" i="48"/>
  <c r="B345" i="48"/>
  <c r="E345" i="48"/>
  <c r="G345" i="48"/>
  <c r="B346" i="48"/>
  <c r="E346" i="48"/>
  <c r="G346" i="48"/>
  <c r="B347" i="48"/>
  <c r="E347" i="48"/>
  <c r="G347" i="48"/>
  <c r="B348" i="48"/>
  <c r="E348" i="48"/>
  <c r="G348" i="48"/>
  <c r="B349" i="48"/>
  <c r="E349" i="48"/>
  <c r="G349" i="48"/>
  <c r="B350" i="48"/>
  <c r="E350" i="48"/>
  <c r="G350" i="48"/>
  <c r="B351" i="48"/>
  <c r="E351" i="48"/>
  <c r="G351" i="48"/>
  <c r="B352" i="48"/>
  <c r="E352" i="48"/>
  <c r="G352" i="48"/>
  <c r="B353" i="48"/>
  <c r="E353" i="48"/>
  <c r="G353" i="48"/>
  <c r="B354" i="48"/>
  <c r="B355" i="48"/>
  <c r="B356" i="48"/>
  <c r="B357" i="48"/>
  <c r="B358" i="48"/>
  <c r="B359" i="48"/>
  <c r="E359" i="48"/>
  <c r="G359" i="48"/>
  <c r="B360" i="48"/>
  <c r="E360" i="48"/>
  <c r="G360" i="48"/>
  <c r="B361" i="48"/>
  <c r="E361" i="48"/>
  <c r="G361" i="48"/>
  <c r="B362" i="48"/>
  <c r="B363" i="48"/>
  <c r="E363" i="48"/>
  <c r="G363" i="48"/>
  <c r="B364" i="48"/>
  <c r="E364" i="48"/>
  <c r="G364" i="48"/>
  <c r="B365" i="48"/>
  <c r="E365" i="48"/>
  <c r="G365" i="48"/>
  <c r="B366" i="48"/>
  <c r="B367" i="48"/>
  <c r="B368" i="48"/>
  <c r="E368" i="48"/>
  <c r="G368" i="48"/>
  <c r="B369" i="48"/>
  <c r="B370" i="48"/>
  <c r="B371" i="48"/>
  <c r="B372" i="48"/>
  <c r="B373" i="48"/>
  <c r="B374" i="48"/>
  <c r="B375" i="48"/>
  <c r="B376" i="48"/>
  <c r="B377" i="48"/>
  <c r="E377" i="48"/>
  <c r="G377" i="48"/>
  <c r="B378" i="48"/>
  <c r="B379" i="48"/>
  <c r="E379" i="48"/>
  <c r="G379" i="48"/>
  <c r="B380" i="48"/>
  <c r="B381" i="48"/>
  <c r="E381" i="48"/>
  <c r="G381" i="48"/>
  <c r="B382" i="48"/>
  <c r="B383" i="48"/>
  <c r="B384" i="48"/>
  <c r="B385" i="48"/>
  <c r="E385" i="48"/>
  <c r="G385" i="48"/>
  <c r="B386" i="48"/>
  <c r="E386" i="48"/>
  <c r="G386" i="48"/>
  <c r="B387" i="48"/>
  <c r="E387" i="48"/>
  <c r="G387" i="48"/>
  <c r="B388" i="48"/>
  <c r="B389" i="48"/>
  <c r="B390" i="48"/>
  <c r="B391" i="48"/>
  <c r="E391" i="48"/>
  <c r="G391" i="48"/>
  <c r="B392" i="48"/>
  <c r="B393" i="48"/>
  <c r="B394" i="48"/>
  <c r="B395" i="48"/>
  <c r="E395" i="48"/>
  <c r="G395" i="48"/>
  <c r="B396" i="48"/>
  <c r="B397" i="48"/>
  <c r="E397" i="48"/>
  <c r="G397" i="48"/>
  <c r="B398" i="48"/>
  <c r="B399" i="48"/>
  <c r="B400" i="48"/>
  <c r="E400" i="48"/>
  <c r="G400" i="48"/>
  <c r="B401" i="48"/>
  <c r="E401" i="48"/>
  <c r="G401" i="48"/>
  <c r="B402" i="48"/>
  <c r="B403" i="48"/>
  <c r="B404" i="48"/>
  <c r="E404" i="48"/>
  <c r="G404" i="48"/>
  <c r="B405" i="48"/>
  <c r="E405" i="48"/>
  <c r="G405" i="48"/>
  <c r="B406" i="48"/>
  <c r="E406" i="48"/>
  <c r="G406" i="48"/>
  <c r="B407" i="48"/>
  <c r="B408" i="48"/>
  <c r="E408" i="48"/>
  <c r="G408" i="48"/>
  <c r="B409" i="48"/>
  <c r="B410" i="48"/>
  <c r="B411" i="48"/>
  <c r="B412" i="48"/>
  <c r="B413" i="48"/>
  <c r="B414" i="48"/>
  <c r="B415" i="48"/>
  <c r="E415" i="48"/>
  <c r="G415" i="48"/>
  <c r="B416" i="48"/>
  <c r="E416" i="48"/>
  <c r="G416" i="48"/>
  <c r="B417" i="48"/>
  <c r="B418" i="48"/>
  <c r="B419" i="48"/>
  <c r="E419" i="48"/>
  <c r="G419" i="48"/>
  <c r="B420" i="48"/>
  <c r="B421" i="48"/>
  <c r="B422" i="48"/>
  <c r="B423" i="48"/>
  <c r="E423" i="48"/>
  <c r="G423" i="48"/>
  <c r="B424" i="48"/>
  <c r="E424" i="48"/>
  <c r="G424" i="48"/>
  <c r="B425" i="48"/>
  <c r="B426" i="48"/>
  <c r="E426" i="48"/>
  <c r="G426" i="48"/>
  <c r="B427" i="48"/>
  <c r="A4" i="44"/>
  <c r="A5" i="44"/>
  <c r="B10" i="43"/>
  <c r="C10" i="43"/>
  <c r="D10" i="43"/>
  <c r="E10" i="43"/>
  <c r="F10" i="43"/>
  <c r="G10" i="43"/>
  <c r="H10" i="43"/>
  <c r="I10" i="43"/>
  <c r="J10" i="43"/>
  <c r="K10" i="43"/>
  <c r="L10" i="43"/>
  <c r="N97" i="42"/>
  <c r="R97" i="42"/>
  <c r="V97" i="42"/>
  <c r="Z97" i="42"/>
  <c r="N107" i="42"/>
  <c r="R107" i="42"/>
  <c r="V107" i="42"/>
  <c r="Z107" i="42"/>
  <c r="N108" i="42"/>
  <c r="R108" i="42"/>
  <c r="V108" i="42"/>
  <c r="Z108" i="42"/>
  <c r="N109" i="42"/>
  <c r="R109" i="42"/>
  <c r="V109" i="42"/>
  <c r="Z109" i="42"/>
  <c r="N111" i="42"/>
  <c r="R111" i="42"/>
  <c r="V111" i="42"/>
  <c r="Z111" i="42"/>
  <c r="N112" i="42"/>
  <c r="R112" i="42"/>
  <c r="V112" i="42"/>
  <c r="Z112" i="42"/>
  <c r="N113" i="42"/>
  <c r="R113" i="42"/>
  <c r="V113" i="42"/>
  <c r="Z113" i="42"/>
  <c r="N114" i="42"/>
  <c r="R114" i="42"/>
  <c r="V114" i="42"/>
  <c r="Z114" i="42"/>
  <c r="B58" i="23"/>
  <c r="B77" i="25"/>
  <c r="B77" i="23"/>
  <c r="G78" i="47"/>
  <c r="E19" i="49"/>
  <c r="E43" i="49"/>
  <c r="E55" i="49"/>
  <c r="E31" i="49"/>
  <c r="G35" i="45"/>
  <c r="B23" i="26"/>
  <c r="B47" i="26"/>
  <c r="B59" i="26"/>
  <c r="B35" i="26"/>
  <c r="G3" i="45"/>
  <c r="E31" i="26"/>
  <c r="E19" i="26"/>
  <c r="E43" i="26"/>
  <c r="D38" i="25"/>
  <c r="C38" i="25"/>
  <c r="D36" i="25"/>
  <c r="C36" i="25"/>
  <c r="D34" i="25"/>
  <c r="C34" i="25"/>
  <c r="F34" i="25"/>
  <c r="D31" i="25"/>
  <c r="C31" i="25"/>
  <c r="D16" i="25"/>
  <c r="C16" i="25"/>
  <c r="F16" i="25"/>
  <c r="D14" i="25"/>
  <c r="C14" i="25"/>
  <c r="F14" i="25"/>
  <c r="D12" i="25"/>
  <c r="C12" i="25"/>
  <c r="F12" i="25"/>
  <c r="D10" i="25"/>
  <c r="C10" i="25"/>
  <c r="G45" i="45"/>
  <c r="F40" i="45"/>
  <c r="G31" i="24"/>
  <c r="K31" i="24"/>
  <c r="G62" i="47"/>
  <c r="F54" i="25"/>
  <c r="F42" i="25"/>
  <c r="D62" i="25"/>
  <c r="C62" i="25"/>
  <c r="F62" i="25"/>
  <c r="F95" i="45"/>
  <c r="G101" i="45"/>
  <c r="G95" i="45"/>
  <c r="I207" i="47"/>
  <c r="I209" i="47"/>
  <c r="G192" i="47"/>
  <c r="I189" i="47"/>
  <c r="I192" i="47"/>
  <c r="G44" i="47"/>
  <c r="G27" i="47"/>
  <c r="D8" i="23"/>
  <c r="C84" i="23"/>
  <c r="D84" i="23"/>
  <c r="D79" i="25"/>
  <c r="C79" i="25"/>
  <c r="D72" i="25"/>
  <c r="C72" i="25"/>
  <c r="D70" i="25"/>
  <c r="C70" i="25"/>
  <c r="F70" i="25"/>
  <c r="D68" i="25"/>
  <c r="C68" i="25"/>
  <c r="F68" i="25"/>
  <c r="D66" i="25"/>
  <c r="C66" i="25"/>
  <c r="F66" i="25"/>
  <c r="D64" i="25"/>
  <c r="C64" i="25"/>
  <c r="F64" i="25"/>
  <c r="G55" i="45"/>
  <c r="F50" i="25"/>
  <c r="B17" i="54"/>
  <c r="B79" i="25"/>
  <c r="B10" i="54"/>
  <c r="B72" i="23"/>
  <c r="B72" i="25"/>
  <c r="A28" i="54"/>
  <c r="A69" i="23"/>
  <c r="B27" i="54"/>
  <c r="B68" i="23"/>
  <c r="B68" i="25"/>
  <c r="D80" i="25"/>
  <c r="D32" i="25"/>
  <c r="D28" i="25"/>
  <c r="D26" i="25"/>
  <c r="F26" i="25"/>
  <c r="D24" i="25"/>
  <c r="F24" i="25"/>
  <c r="D16" i="54"/>
  <c r="C16" i="54"/>
  <c r="D69" i="54"/>
  <c r="C69" i="54"/>
  <c r="D63" i="54"/>
  <c r="C63" i="54"/>
  <c r="F63" i="54"/>
  <c r="C78" i="54"/>
  <c r="D78" i="54"/>
  <c r="F78" i="54"/>
  <c r="C71" i="54"/>
  <c r="D71" i="54"/>
  <c r="F71" i="54"/>
  <c r="C53" i="54"/>
  <c r="D53" i="54"/>
  <c r="D51" i="54"/>
  <c r="C51" i="54"/>
  <c r="F51" i="54"/>
  <c r="D45" i="54"/>
  <c r="C45" i="54"/>
  <c r="F45" i="54"/>
  <c r="D58" i="54"/>
  <c r="C58" i="54"/>
  <c r="F58" i="54"/>
  <c r="C47" i="54"/>
  <c r="D47" i="54"/>
  <c r="D25" i="54"/>
  <c r="C25" i="54"/>
  <c r="D24" i="54"/>
  <c r="C24" i="54"/>
  <c r="F24" i="54"/>
  <c r="D66" i="54"/>
  <c r="C66" i="54"/>
  <c r="F66" i="54"/>
  <c r="C59" i="54"/>
  <c r="D59" i="54"/>
  <c r="D54" i="54"/>
  <c r="C54" i="54"/>
  <c r="F54" i="54"/>
  <c r="D38" i="54"/>
  <c r="C38" i="54"/>
  <c r="F38" i="54"/>
  <c r="D37" i="54"/>
  <c r="C37" i="54"/>
  <c r="F37" i="54"/>
  <c r="D34" i="54"/>
  <c r="C34" i="54"/>
  <c r="F34" i="54"/>
  <c r="D33" i="54"/>
  <c r="C33" i="54"/>
  <c r="F33" i="54"/>
  <c r="D28" i="54"/>
  <c r="C28" i="54"/>
  <c r="F28" i="54"/>
  <c r="D80" i="54"/>
  <c r="C80" i="54"/>
  <c r="D75" i="54"/>
  <c r="C75" i="54"/>
  <c r="F75" i="54"/>
  <c r="D76" i="54"/>
  <c r="C76" i="54"/>
  <c r="D57" i="54"/>
  <c r="C57" i="54"/>
  <c r="F57" i="54"/>
  <c r="F35" i="54"/>
  <c r="F60" i="54"/>
  <c r="C17" i="54"/>
  <c r="C15" i="54"/>
  <c r="C12" i="54"/>
  <c r="C10" i="54"/>
  <c r="D29" i="54"/>
  <c r="F29" i="54"/>
  <c r="D64" i="54"/>
  <c r="F64" i="54"/>
  <c r="D46" i="54"/>
  <c r="F46" i="54"/>
  <c r="F59" i="54"/>
  <c r="I210" i="47"/>
  <c r="I211" i="47"/>
  <c r="D68" i="45"/>
  <c r="F68" i="45"/>
  <c r="G13" i="31"/>
  <c r="F13" i="31"/>
  <c r="I193" i="47"/>
  <c r="I194" i="47"/>
  <c r="I195" i="47"/>
  <c r="G40" i="45"/>
  <c r="G29" i="45"/>
  <c r="F62" i="45"/>
  <c r="G68" i="45"/>
  <c r="G62" i="45"/>
  <c r="I196" i="47"/>
  <c r="I197" i="47"/>
  <c r="E178" i="48"/>
  <c r="G178" i="48"/>
  <c r="E151" i="48"/>
  <c r="G151" i="48"/>
  <c r="C8" i="53"/>
  <c r="C8" i="27"/>
  <c r="C19" i="53"/>
  <c r="C31" i="53"/>
  <c r="C19" i="27"/>
  <c r="C31" i="27"/>
  <c r="E213" i="48"/>
  <c r="G213" i="48"/>
  <c r="E109" i="48"/>
  <c r="G109" i="48"/>
  <c r="E152" i="48"/>
  <c r="G152" i="48"/>
  <c r="E110" i="48"/>
  <c r="G110" i="48"/>
  <c r="Z119" i="42"/>
  <c r="F65" i="25"/>
  <c r="D49" i="25"/>
  <c r="F49" i="25"/>
  <c r="D47" i="25"/>
  <c r="F47" i="25"/>
  <c r="D40" i="25"/>
  <c r="F40" i="25"/>
  <c r="D23" i="25"/>
  <c r="F23" i="25"/>
  <c r="D37" i="25"/>
  <c r="F37" i="25"/>
  <c r="D43" i="26"/>
  <c r="C46" i="25"/>
  <c r="F46" i="25"/>
  <c r="D30" i="25"/>
  <c r="D73" i="54"/>
  <c r="F73" i="54"/>
  <c r="D21" i="54"/>
  <c r="C21" i="54"/>
  <c r="D20" i="54"/>
  <c r="C20" i="54"/>
  <c r="F20" i="54"/>
  <c r="C18" i="54"/>
  <c r="D65" i="54"/>
  <c r="F65" i="54"/>
  <c r="F109" i="42"/>
  <c r="I109" i="42"/>
  <c r="I224" i="47"/>
  <c r="I225" i="47"/>
  <c r="I226" i="47"/>
  <c r="I144" i="47"/>
  <c r="I145" i="47"/>
  <c r="I146" i="47"/>
  <c r="I176" i="47"/>
  <c r="I126" i="47"/>
  <c r="I78" i="47"/>
  <c r="I110" i="47"/>
  <c r="H65" i="24"/>
  <c r="K65" i="24"/>
  <c r="H15" i="24"/>
  <c r="K15" i="24"/>
  <c r="H26" i="24"/>
  <c r="K26" i="24"/>
  <c r="H21" i="24"/>
  <c r="I44" i="47"/>
  <c r="I28" i="47"/>
  <c r="I29" i="47"/>
  <c r="I30" i="47"/>
  <c r="I113" i="42"/>
  <c r="B113" i="42"/>
  <c r="I112" i="42"/>
  <c r="I111" i="47"/>
  <c r="I112" i="47"/>
  <c r="I113" i="47"/>
  <c r="I79" i="47"/>
  <c r="I80" i="47"/>
  <c r="I81" i="47"/>
  <c r="I128" i="47"/>
  <c r="I127" i="47"/>
  <c r="I129" i="47"/>
  <c r="F46" i="53"/>
  <c r="F29" i="53"/>
  <c r="F7" i="37"/>
  <c r="F17" i="27"/>
  <c r="F46" i="27"/>
  <c r="F6" i="27"/>
  <c r="F7" i="29"/>
  <c r="F29" i="27"/>
  <c r="Y7" i="23"/>
  <c r="F7" i="49"/>
  <c r="F7" i="36"/>
  <c r="F7" i="26"/>
  <c r="F17" i="53"/>
  <c r="F6" i="53"/>
  <c r="I178" i="47"/>
  <c r="I177" i="47"/>
  <c r="I114" i="42"/>
  <c r="B114" i="42"/>
  <c r="I45" i="47"/>
  <c r="I46" i="47"/>
  <c r="I47" i="47"/>
  <c r="I227" i="47"/>
  <c r="I228" i="47"/>
  <c r="D110" i="45"/>
  <c r="F110" i="45"/>
  <c r="I48" i="47"/>
  <c r="I49" i="47"/>
  <c r="D78" i="45"/>
  <c r="F78" i="45"/>
  <c r="G78" i="45"/>
  <c r="I82" i="47"/>
  <c r="I83" i="47"/>
  <c r="D80" i="45"/>
  <c r="F80" i="45"/>
  <c r="G80" i="45"/>
  <c r="I130" i="47"/>
  <c r="I131" i="47"/>
  <c r="D83" i="45"/>
  <c r="F83" i="45"/>
  <c r="F31" i="26"/>
  <c r="F19" i="26"/>
  <c r="F55" i="26"/>
  <c r="F43" i="26"/>
  <c r="F55" i="49"/>
  <c r="F19" i="49"/>
  <c r="F43" i="49"/>
  <c r="F31" i="49"/>
  <c r="I111" i="42"/>
  <c r="B111" i="42"/>
  <c r="I114" i="47"/>
  <c r="I115" i="47"/>
  <c r="G6" i="53"/>
  <c r="G17" i="53"/>
  <c r="G7" i="36"/>
  <c r="G46" i="53"/>
  <c r="G29" i="53"/>
  <c r="G29" i="27"/>
  <c r="G6" i="27"/>
  <c r="G7" i="37"/>
  <c r="G17" i="27"/>
  <c r="G46" i="27"/>
  <c r="G7" i="49"/>
  <c r="G7" i="26"/>
  <c r="Z7" i="23"/>
  <c r="G7" i="29"/>
  <c r="G39" i="24"/>
  <c r="G83" i="45"/>
  <c r="G43" i="26"/>
  <c r="G31" i="26"/>
  <c r="G55" i="26"/>
  <c r="G19" i="26"/>
  <c r="G19" i="49"/>
  <c r="G43" i="49"/>
  <c r="G31" i="49"/>
  <c r="G55" i="49"/>
  <c r="H7" i="37"/>
  <c r="H7" i="29"/>
  <c r="H29" i="27"/>
  <c r="H46" i="27"/>
  <c r="H29" i="53"/>
  <c r="AA7" i="23"/>
  <c r="H46" i="53"/>
  <c r="H6" i="27"/>
  <c r="H17" i="53"/>
  <c r="H17" i="27"/>
  <c r="H6" i="53"/>
  <c r="H7" i="49"/>
  <c r="H7" i="36"/>
  <c r="H7" i="26"/>
  <c r="D82" i="45"/>
  <c r="F82" i="45"/>
  <c r="G82" i="45"/>
  <c r="I116" i="47"/>
  <c r="H31" i="49"/>
  <c r="H43" i="49"/>
  <c r="H55" i="49"/>
  <c r="H19" i="49"/>
  <c r="I7" i="26"/>
  <c r="I7" i="29"/>
  <c r="I6" i="27"/>
  <c r="I46" i="27"/>
  <c r="I17" i="53"/>
  <c r="AB7" i="23"/>
  <c r="I6" i="53"/>
  <c r="I29" i="27"/>
  <c r="I29" i="53"/>
  <c r="I7" i="36"/>
  <c r="I46" i="53"/>
  <c r="I17" i="27"/>
  <c r="I7" i="37"/>
  <c r="I7" i="49"/>
  <c r="H55" i="26"/>
  <c r="H43" i="26"/>
  <c r="H19" i="26"/>
  <c r="H31" i="26"/>
  <c r="H13" i="31"/>
  <c r="I31" i="26"/>
  <c r="I19" i="26"/>
  <c r="I43" i="26"/>
  <c r="I55" i="26"/>
  <c r="J46" i="53"/>
  <c r="J7" i="29"/>
  <c r="J29" i="27"/>
  <c r="J46" i="27"/>
  <c r="J6" i="27"/>
  <c r="AC7" i="23"/>
  <c r="J17" i="27"/>
  <c r="J7" i="36"/>
  <c r="J7" i="49"/>
  <c r="J17" i="53"/>
  <c r="J7" i="26"/>
  <c r="J6" i="53"/>
  <c r="J29" i="53"/>
  <c r="J7" i="37"/>
  <c r="I43" i="49"/>
  <c r="I55" i="49"/>
  <c r="I31" i="49"/>
  <c r="I19" i="49"/>
  <c r="I13" i="31"/>
  <c r="J31" i="26"/>
  <c r="J19" i="26"/>
  <c r="J43" i="26"/>
  <c r="J55" i="26"/>
  <c r="E19" i="53"/>
  <c r="E8" i="53"/>
  <c r="E31" i="53"/>
  <c r="D8" i="53"/>
  <c r="D8" i="27"/>
  <c r="J55" i="49"/>
  <c r="J19" i="49"/>
  <c r="J43" i="49"/>
  <c r="J31" i="49"/>
  <c r="D19" i="53"/>
  <c r="D19" i="27"/>
  <c r="J13" i="31"/>
  <c r="K7" i="29"/>
  <c r="D31" i="27"/>
  <c r="E8" i="27"/>
  <c r="N12" i="42"/>
  <c r="V12" i="42"/>
  <c r="K13" i="31"/>
  <c r="D31" i="53"/>
  <c r="V11" i="42"/>
  <c r="V19" i="42"/>
  <c r="E225" i="48"/>
  <c r="G225" i="48"/>
  <c r="V10" i="42"/>
  <c r="E87" i="48"/>
  <c r="G87" i="48"/>
  <c r="E177" i="48"/>
  <c r="G177" i="48"/>
  <c r="L13" i="31"/>
  <c r="E274" i="48"/>
  <c r="G274" i="48"/>
  <c r="F19" i="53"/>
  <c r="F19" i="27"/>
  <c r="G19" i="53"/>
  <c r="G19" i="27"/>
  <c r="G8" i="27"/>
  <c r="G31" i="27"/>
  <c r="E98" i="48"/>
  <c r="G98" i="48"/>
  <c r="E223" i="48"/>
  <c r="G223" i="48"/>
  <c r="G8" i="53"/>
  <c r="E228" i="48"/>
  <c r="G228" i="48"/>
  <c r="N41" i="42"/>
  <c r="E47" i="48"/>
  <c r="G47" i="48"/>
  <c r="N19" i="42"/>
  <c r="B19" i="42"/>
  <c r="M13" i="31"/>
  <c r="E224" i="48"/>
  <c r="G224" i="48"/>
  <c r="N42" i="42"/>
  <c r="E27" i="48"/>
  <c r="G27" i="48"/>
  <c r="E89" i="48"/>
  <c r="G89" i="48"/>
  <c r="E102" i="48"/>
  <c r="G102" i="48"/>
  <c r="E255" i="48"/>
  <c r="G255" i="48"/>
  <c r="E206" i="48"/>
  <c r="G206" i="48"/>
  <c r="E42" i="48"/>
  <c r="G42" i="48"/>
  <c r="N13" i="31"/>
  <c r="E99" i="48"/>
  <c r="G99" i="48"/>
  <c r="E311" i="48"/>
  <c r="G311" i="48"/>
  <c r="E26" i="48"/>
  <c r="G26" i="48"/>
  <c r="G31" i="53"/>
  <c r="E38" i="48"/>
  <c r="G38" i="48"/>
  <c r="E25" i="48"/>
  <c r="G25" i="48"/>
  <c r="E22" i="48"/>
  <c r="G22" i="48"/>
  <c r="E235" i="48"/>
  <c r="G235" i="48"/>
  <c r="N40" i="42"/>
  <c r="E46" i="48"/>
  <c r="G46" i="48"/>
  <c r="E35" i="48"/>
  <c r="G35" i="48"/>
  <c r="E233" i="48"/>
  <c r="G233" i="48"/>
  <c r="E23" i="48"/>
  <c r="G23" i="48"/>
  <c r="O13" i="31"/>
  <c r="E253" i="48"/>
  <c r="G253" i="48"/>
  <c r="E234" i="48"/>
  <c r="G234" i="48"/>
  <c r="E40" i="48"/>
  <c r="G40" i="48"/>
  <c r="E250" i="48"/>
  <c r="G250" i="48"/>
  <c r="N11" i="42"/>
  <c r="E100" i="48"/>
  <c r="G100" i="48"/>
  <c r="E37" i="48"/>
  <c r="G37" i="48"/>
  <c r="E51" i="48"/>
  <c r="G51" i="48"/>
  <c r="E62" i="48"/>
  <c r="G62" i="48"/>
  <c r="E113" i="48"/>
  <c r="G113" i="48"/>
  <c r="E312" i="48"/>
  <c r="G312" i="48"/>
  <c r="E101" i="48"/>
  <c r="G101" i="48"/>
  <c r="E205" i="48"/>
  <c r="G205" i="48"/>
  <c r="E248" i="48"/>
  <c r="G248" i="48"/>
  <c r="E61" i="48"/>
  <c r="G61" i="48"/>
  <c r="E88" i="48"/>
  <c r="G88" i="48"/>
  <c r="V39" i="42"/>
  <c r="E236" i="48"/>
  <c r="G236" i="48"/>
  <c r="E24" i="48"/>
  <c r="G24" i="48"/>
  <c r="E240" i="48"/>
  <c r="G240" i="48"/>
  <c r="E136" i="48"/>
  <c r="G136" i="48"/>
  <c r="B20" i="56"/>
  <c r="E135" i="48"/>
  <c r="G135" i="48"/>
  <c r="R119" i="42"/>
  <c r="E41" i="48"/>
  <c r="G41" i="48"/>
  <c r="E258" i="48"/>
  <c r="G258" i="48"/>
  <c r="E254" i="48"/>
  <c r="G254" i="48"/>
  <c r="P13" i="31"/>
  <c r="K19" i="53"/>
  <c r="K19" i="27"/>
  <c r="E249" i="48"/>
  <c r="G249" i="48"/>
  <c r="E36" i="48"/>
  <c r="G36" i="48"/>
  <c r="E73" i="48"/>
  <c r="G73" i="48"/>
  <c r="E28" i="48"/>
  <c r="G28" i="48"/>
  <c r="E72" i="48"/>
  <c r="G72" i="48"/>
  <c r="E75" i="48"/>
  <c r="G75" i="48"/>
  <c r="Q6" i="43"/>
  <c r="E71" i="48"/>
  <c r="Q5" i="43"/>
  <c r="N116" i="42"/>
  <c r="G71" i="48"/>
  <c r="Q8" i="43"/>
  <c r="B71" i="42"/>
  <c r="B51" i="42"/>
  <c r="B57" i="42"/>
  <c r="B112" i="42"/>
  <c r="G118" i="48"/>
  <c r="E17" i="48"/>
  <c r="G17" i="48"/>
  <c r="E48" i="48"/>
  <c r="G48" i="48"/>
  <c r="V119" i="42"/>
  <c r="AD119" i="42"/>
  <c r="E13" i="48"/>
  <c r="G13" i="48"/>
  <c r="B89" i="42"/>
  <c r="B77" i="42"/>
  <c r="B83" i="42"/>
  <c r="B69" i="42"/>
  <c r="V22" i="49"/>
  <c r="E14" i="48"/>
  <c r="B63" i="42"/>
  <c r="B45" i="42"/>
  <c r="B109" i="42"/>
  <c r="E429" i="48"/>
  <c r="G332" i="48"/>
  <c r="G429" i="48"/>
  <c r="G119" i="48"/>
  <c r="G220" i="48"/>
  <c r="E220" i="48"/>
  <c r="E327" i="48"/>
  <c r="G227" i="48"/>
  <c r="G327" i="48"/>
  <c r="G14" i="48"/>
  <c r="B39" i="59"/>
  <c r="B51" i="59"/>
  <c r="B57" i="59"/>
  <c r="B45" i="59"/>
  <c r="P78" i="59"/>
  <c r="AD7" i="23"/>
  <c r="K7" i="49"/>
  <c r="K7" i="37"/>
  <c r="K6" i="53"/>
  <c r="K7" i="26"/>
  <c r="K17" i="53"/>
  <c r="K29" i="53"/>
  <c r="K29" i="27"/>
  <c r="K46" i="53"/>
  <c r="K46" i="27"/>
  <c r="K7" i="36"/>
  <c r="K6" i="27"/>
  <c r="K17" i="27"/>
  <c r="E19" i="27"/>
  <c r="E31" i="27"/>
  <c r="I147" i="47"/>
  <c r="I148" i="47"/>
  <c r="D84" i="45"/>
  <c r="F84" i="45"/>
  <c r="I179" i="47"/>
  <c r="I180" i="47"/>
  <c r="I181" i="47"/>
  <c r="F21" i="54"/>
  <c r="F10" i="25"/>
  <c r="F76" i="54"/>
  <c r="F25" i="54"/>
  <c r="F36" i="25"/>
  <c r="D58" i="23"/>
  <c r="D55" i="23"/>
  <c r="D52" i="23"/>
  <c r="D44" i="23"/>
  <c r="C51" i="25"/>
  <c r="D54" i="23"/>
  <c r="D51" i="23"/>
  <c r="D72" i="23"/>
  <c r="D69" i="23"/>
  <c r="D16" i="23"/>
  <c r="F43" i="25"/>
  <c r="F11" i="25"/>
  <c r="D27" i="23"/>
  <c r="D24" i="23"/>
  <c r="D74" i="23"/>
  <c r="D65" i="23"/>
  <c r="D13" i="25"/>
  <c r="F13" i="25"/>
  <c r="D59" i="23"/>
  <c r="D26" i="23"/>
  <c r="D23" i="23"/>
  <c r="C27" i="25"/>
  <c r="F27" i="25"/>
  <c r="D76" i="23"/>
  <c r="D35" i="23"/>
  <c r="D12" i="23"/>
  <c r="F55" i="25"/>
  <c r="F97" i="42"/>
  <c r="I97" i="42"/>
  <c r="B64" i="59"/>
  <c r="F23" i="54"/>
  <c r="X78" i="59"/>
  <c r="AB78" i="59"/>
  <c r="C48" i="54"/>
  <c r="F48" i="54"/>
  <c r="H41" i="24"/>
  <c r="H40" i="24"/>
  <c r="H44" i="24"/>
  <c r="K44" i="24"/>
  <c r="H73" i="24"/>
  <c r="K73" i="24"/>
  <c r="H36" i="24"/>
  <c r="H86" i="24"/>
  <c r="K86" i="24"/>
  <c r="H29" i="24"/>
  <c r="K29" i="24"/>
  <c r="H70" i="24"/>
  <c r="K70" i="24"/>
  <c r="H71" i="24"/>
  <c r="K71" i="24"/>
  <c r="H74" i="24"/>
  <c r="K74" i="24"/>
  <c r="H37" i="24"/>
  <c r="H78" i="24"/>
  <c r="K78" i="24"/>
  <c r="G95" i="24"/>
  <c r="H95" i="24"/>
  <c r="K95" i="24"/>
  <c r="H76" i="24"/>
  <c r="K76" i="24"/>
  <c r="H52" i="24"/>
  <c r="K52" i="24"/>
  <c r="H72" i="24"/>
  <c r="K72" i="24"/>
  <c r="H75" i="24"/>
  <c r="K75" i="24"/>
  <c r="H30" i="24"/>
  <c r="K30" i="24"/>
  <c r="H38" i="24"/>
  <c r="H79" i="24"/>
  <c r="K79" i="24"/>
  <c r="H39" i="24"/>
  <c r="K39" i="24"/>
  <c r="H27" i="24"/>
  <c r="K27" i="24"/>
  <c r="H53" i="24"/>
  <c r="K53" i="24"/>
  <c r="T78" i="59"/>
  <c r="C50" i="54"/>
  <c r="D49" i="54"/>
  <c r="L78" i="59"/>
  <c r="F107" i="42"/>
  <c r="I107" i="42"/>
  <c r="F108" i="42"/>
  <c r="I108" i="42"/>
  <c r="F106" i="45"/>
  <c r="G43" i="24"/>
  <c r="K43" i="24"/>
  <c r="G110" i="45"/>
  <c r="G106" i="45"/>
  <c r="I31" i="47"/>
  <c r="I32" i="47"/>
  <c r="D77" i="45"/>
  <c r="F77" i="45"/>
  <c r="F69" i="54"/>
  <c r="C41" i="25"/>
  <c r="D41" i="25"/>
  <c r="D19" i="26"/>
  <c r="D55" i="26"/>
  <c r="D31" i="26"/>
  <c r="F25" i="25"/>
  <c r="C43" i="49"/>
  <c r="C55" i="49"/>
  <c r="C19" i="49"/>
  <c r="C31" i="49"/>
  <c r="C53" i="25"/>
  <c r="D53" i="25"/>
  <c r="D31" i="23"/>
  <c r="F51" i="25"/>
  <c r="C15" i="25"/>
  <c r="D15" i="25"/>
  <c r="B24" i="26"/>
  <c r="B48" i="26"/>
  <c r="B60" i="26"/>
  <c r="C69" i="25"/>
  <c r="F69" i="25"/>
  <c r="D78" i="25"/>
  <c r="D61" i="25"/>
  <c r="F61" i="25"/>
  <c r="B32" i="28"/>
  <c r="D29" i="25"/>
  <c r="D35" i="25"/>
  <c r="F35" i="25"/>
  <c r="E29" i="53"/>
  <c r="E46" i="53"/>
  <c r="E17" i="53"/>
  <c r="C32" i="54"/>
  <c r="D32" i="54"/>
  <c r="F32" i="54"/>
  <c r="D70" i="54"/>
  <c r="C70" i="54"/>
  <c r="C36" i="54"/>
  <c r="D36" i="54"/>
  <c r="F36" i="54"/>
  <c r="C27" i="54"/>
  <c r="F27" i="54"/>
  <c r="I93" i="47"/>
  <c r="F31" i="42"/>
  <c r="I31" i="42"/>
  <c r="B31" i="42"/>
  <c r="K39" i="42"/>
  <c r="N39" i="42"/>
  <c r="F25" i="42"/>
  <c r="I25" i="42"/>
  <c r="F116" i="42"/>
  <c r="I116" i="42"/>
  <c r="B116" i="42"/>
  <c r="I159" i="47"/>
  <c r="I13" i="47"/>
  <c r="I62" i="47"/>
  <c r="K10" i="42"/>
  <c r="N10" i="42"/>
  <c r="B37" i="59"/>
  <c r="D2" i="59"/>
  <c r="B3" i="59"/>
  <c r="D86" i="45"/>
  <c r="F86" i="45"/>
  <c r="G86" i="45"/>
  <c r="I182" i="47"/>
  <c r="B97" i="42"/>
  <c r="L7" i="29"/>
  <c r="L29" i="27"/>
  <c r="L46" i="27"/>
  <c r="L29" i="53"/>
  <c r="AE7" i="23"/>
  <c r="L17" i="53"/>
  <c r="L46" i="53"/>
  <c r="L17" i="27"/>
  <c r="L6" i="27"/>
  <c r="L7" i="36"/>
  <c r="L6" i="53"/>
  <c r="L7" i="37"/>
  <c r="L7" i="49"/>
  <c r="L7" i="26"/>
  <c r="B107" i="42"/>
  <c r="I19" i="53"/>
  <c r="I19" i="27"/>
  <c r="B108" i="42"/>
  <c r="K19" i="26"/>
  <c r="K43" i="26"/>
  <c r="K31" i="26"/>
  <c r="K55" i="26"/>
  <c r="H8" i="53"/>
  <c r="H8" i="27"/>
  <c r="G78" i="59"/>
  <c r="B1" i="59"/>
  <c r="P79" i="59"/>
  <c r="D1" i="59"/>
  <c r="D4" i="59"/>
  <c r="K43" i="49"/>
  <c r="K31" i="49"/>
  <c r="K55" i="49"/>
  <c r="K19" i="49"/>
  <c r="G40" i="24"/>
  <c r="K40" i="24"/>
  <c r="G84" i="45"/>
  <c r="F8" i="53"/>
  <c r="F8" i="27"/>
  <c r="H19" i="27"/>
  <c r="H31" i="27"/>
  <c r="H19" i="53"/>
  <c r="H31" i="53"/>
  <c r="G37" i="24"/>
  <c r="K37" i="24"/>
  <c r="G77" i="45"/>
  <c r="E12" i="48"/>
  <c r="N119" i="42"/>
  <c r="B10" i="42"/>
  <c r="B95" i="42"/>
  <c r="V24" i="49"/>
  <c r="F15" i="25"/>
  <c r="B25" i="42"/>
  <c r="I119" i="42"/>
  <c r="I94" i="47"/>
  <c r="I95" i="47"/>
  <c r="I96" i="47"/>
  <c r="B39" i="42"/>
  <c r="E45" i="48"/>
  <c r="G45" i="48"/>
  <c r="C10" i="36"/>
  <c r="I14" i="47"/>
  <c r="I15" i="47"/>
  <c r="I16" i="47"/>
  <c r="F70" i="54"/>
  <c r="I64" i="47"/>
  <c r="I63" i="47"/>
  <c r="I65" i="47"/>
  <c r="I161" i="47"/>
  <c r="I160" i="47"/>
  <c r="I162" i="47"/>
  <c r="F53" i="25"/>
  <c r="F41" i="25"/>
  <c r="L79" i="59"/>
  <c r="AB79" i="59"/>
  <c r="K8" i="27"/>
  <c r="K31" i="27"/>
  <c r="K8" i="53"/>
  <c r="K31" i="53"/>
  <c r="F31" i="27"/>
  <c r="I8" i="27"/>
  <c r="I8" i="53"/>
  <c r="F31" i="53"/>
  <c r="X79" i="59"/>
  <c r="G79" i="59"/>
  <c r="I31" i="27"/>
  <c r="I31" i="53"/>
  <c r="T79" i="59"/>
  <c r="L31" i="26"/>
  <c r="L55" i="26"/>
  <c r="L43" i="26"/>
  <c r="L19" i="26"/>
  <c r="M46" i="53"/>
  <c r="M6" i="27"/>
  <c r="M7" i="49"/>
  <c r="M7" i="37"/>
  <c r="M29" i="53"/>
  <c r="M7" i="36"/>
  <c r="M7" i="29"/>
  <c r="M7" i="26"/>
  <c r="M46" i="27"/>
  <c r="M17" i="27"/>
  <c r="M17" i="53"/>
  <c r="AF7" i="23"/>
  <c r="M29" i="27"/>
  <c r="M6" i="53"/>
  <c r="L19" i="49"/>
  <c r="L43" i="49"/>
  <c r="L55" i="49"/>
  <c r="L31" i="49"/>
  <c r="I17" i="47"/>
  <c r="I18" i="47"/>
  <c r="I163" i="47"/>
  <c r="I164" i="47"/>
  <c r="I97" i="47"/>
  <c r="I98" i="47"/>
  <c r="D81" i="45"/>
  <c r="F81" i="45"/>
  <c r="G81" i="45"/>
  <c r="C12" i="36"/>
  <c r="J10" i="13"/>
  <c r="J8" i="13"/>
  <c r="B37" i="42"/>
  <c r="B8" i="42"/>
  <c r="I66" i="47"/>
  <c r="I67" i="47"/>
  <c r="D79" i="45"/>
  <c r="F79" i="45"/>
  <c r="V23" i="49"/>
  <c r="B3" i="42"/>
  <c r="G12" i="48"/>
  <c r="G115" i="48"/>
  <c r="G431" i="48"/>
  <c r="E115" i="48"/>
  <c r="E431" i="48"/>
  <c r="N17" i="27"/>
  <c r="N46" i="27"/>
  <c r="N7" i="49"/>
  <c r="N17" i="53"/>
  <c r="N7" i="26"/>
  <c r="N6" i="53"/>
  <c r="N7" i="37"/>
  <c r="N46" i="53"/>
  <c r="N7" i="29"/>
  <c r="N29" i="27"/>
  <c r="N6" i="27"/>
  <c r="N29" i="53"/>
  <c r="N7" i="36"/>
  <c r="J8" i="53"/>
  <c r="J8" i="27"/>
  <c r="M31" i="26"/>
  <c r="M19" i="26"/>
  <c r="M55" i="26"/>
  <c r="M43" i="26"/>
  <c r="J19" i="53"/>
  <c r="J31" i="53"/>
  <c r="J19" i="27"/>
  <c r="J31" i="27"/>
  <c r="L19" i="27"/>
  <c r="L19" i="53"/>
  <c r="L8" i="27"/>
  <c r="L8" i="53"/>
  <c r="M19" i="49"/>
  <c r="M43" i="49"/>
  <c r="M55" i="49"/>
  <c r="M31" i="49"/>
  <c r="D85" i="45"/>
  <c r="F85" i="45"/>
  <c r="I165" i="47"/>
  <c r="Q13" i="31"/>
  <c r="C8" i="37"/>
  <c r="F1" i="42"/>
  <c r="V20" i="49"/>
  <c r="B2" i="42"/>
  <c r="B1" i="42"/>
  <c r="D76" i="45"/>
  <c r="F76" i="45"/>
  <c r="J18" i="47"/>
  <c r="G79" i="45"/>
  <c r="G38" i="24"/>
  <c r="K38" i="24"/>
  <c r="F2" i="42"/>
  <c r="V21" i="49"/>
  <c r="B30" i="56"/>
  <c r="M8" i="27"/>
  <c r="M8" i="53"/>
  <c r="N43" i="26"/>
  <c r="N55" i="26"/>
  <c r="N31" i="26"/>
  <c r="N19" i="26"/>
  <c r="N43" i="49"/>
  <c r="N31" i="49"/>
  <c r="N19" i="49"/>
  <c r="N55" i="49"/>
  <c r="O7" i="29"/>
  <c r="O6" i="27"/>
  <c r="O7" i="37"/>
  <c r="O17" i="27"/>
  <c r="O7" i="49"/>
  <c r="O17" i="53"/>
  <c r="O6" i="53"/>
  <c r="O7" i="36"/>
  <c r="O7" i="26"/>
  <c r="O29" i="27"/>
  <c r="O46" i="53"/>
  <c r="O29" i="53"/>
  <c r="O46" i="27"/>
  <c r="L31" i="53"/>
  <c r="L31" i="27"/>
  <c r="R13" i="31"/>
  <c r="L11" i="53"/>
  <c r="L10" i="53"/>
  <c r="L11" i="27"/>
  <c r="L10" i="27"/>
  <c r="J22" i="53"/>
  <c r="J22" i="27"/>
  <c r="H22" i="53"/>
  <c r="H22" i="27"/>
  <c r="G41" i="24"/>
  <c r="K41" i="24"/>
  <c r="G85" i="45"/>
  <c r="R120" i="42"/>
  <c r="Z120" i="42"/>
  <c r="AD120" i="42"/>
  <c r="V120" i="42"/>
  <c r="I120" i="42"/>
  <c r="N120" i="42"/>
  <c r="G22" i="53"/>
  <c r="G22" i="27"/>
  <c r="I11" i="43"/>
  <c r="G76" i="45"/>
  <c r="G72" i="45"/>
  <c r="G36" i="24"/>
  <c r="K36" i="24"/>
  <c r="F72" i="45"/>
  <c r="G21" i="24"/>
  <c r="K21" i="24"/>
  <c r="V26" i="49"/>
  <c r="G11" i="53"/>
  <c r="G10" i="53"/>
  <c r="G11" i="27"/>
  <c r="G10" i="27"/>
  <c r="F4" i="42"/>
  <c r="K11" i="27"/>
  <c r="K10" i="27"/>
  <c r="K11" i="53"/>
  <c r="K10" i="53"/>
  <c r="F22" i="53"/>
  <c r="F22" i="27"/>
  <c r="G11" i="43"/>
  <c r="K22" i="53"/>
  <c r="K22" i="27"/>
  <c r="F11" i="53"/>
  <c r="F10" i="53"/>
  <c r="F11" i="27"/>
  <c r="F10" i="27"/>
  <c r="E11" i="43"/>
  <c r="E11" i="53"/>
  <c r="E10" i="53"/>
  <c r="E11" i="27"/>
  <c r="E10" i="27"/>
  <c r="K11" i="43"/>
  <c r="L22" i="27"/>
  <c r="L22" i="53"/>
  <c r="E22" i="53"/>
  <c r="E22" i="27"/>
  <c r="C11" i="43"/>
  <c r="Q11" i="43"/>
  <c r="R11" i="43"/>
  <c r="J11" i="27"/>
  <c r="J10" i="27"/>
  <c r="J11" i="53"/>
  <c r="J10" i="53"/>
  <c r="D11" i="53"/>
  <c r="D10" i="53"/>
  <c r="D11" i="27"/>
  <c r="D10" i="27"/>
  <c r="H11" i="27"/>
  <c r="H10" i="27"/>
  <c r="H11" i="53"/>
  <c r="H10" i="53"/>
  <c r="D22" i="53"/>
  <c r="D22" i="27"/>
  <c r="I22" i="53"/>
  <c r="I22" i="27"/>
  <c r="C11" i="53"/>
  <c r="C11" i="27"/>
  <c r="I11" i="53"/>
  <c r="I10" i="53"/>
  <c r="I11" i="27"/>
  <c r="I10" i="27"/>
  <c r="C22" i="53"/>
  <c r="C22" i="27"/>
  <c r="P7" i="36"/>
  <c r="P29" i="27"/>
  <c r="P7" i="37"/>
  <c r="P7" i="29"/>
  <c r="P46" i="27"/>
  <c r="P29" i="53"/>
  <c r="P6" i="27"/>
  <c r="P46" i="53"/>
  <c r="P7" i="26"/>
  <c r="P7" i="49"/>
  <c r="P17" i="53"/>
  <c r="P6" i="53"/>
  <c r="P17" i="27"/>
  <c r="O55" i="26"/>
  <c r="O19" i="26"/>
  <c r="O43" i="26"/>
  <c r="O31" i="26"/>
  <c r="N8" i="27"/>
  <c r="N8" i="53"/>
  <c r="O55" i="49"/>
  <c r="O19" i="49"/>
  <c r="O43" i="49"/>
  <c r="O31" i="49"/>
  <c r="S13" i="31"/>
  <c r="I34" i="27"/>
  <c r="C9" i="53"/>
  <c r="C9" i="27"/>
  <c r="H34" i="27"/>
  <c r="I20" i="53"/>
  <c r="P19" i="13"/>
  <c r="I20" i="27"/>
  <c r="H34" i="53"/>
  <c r="J9" i="27"/>
  <c r="J7" i="27"/>
  <c r="J13" i="27"/>
  <c r="J9" i="53"/>
  <c r="J7" i="53"/>
  <c r="J13" i="53"/>
  <c r="E34" i="27"/>
  <c r="D9" i="53"/>
  <c r="D7" i="53"/>
  <c r="D13" i="53"/>
  <c r="D9" i="27"/>
  <c r="D7" i="27"/>
  <c r="D13" i="27"/>
  <c r="J34" i="27"/>
  <c r="M9" i="27"/>
  <c r="M7" i="27"/>
  <c r="M9" i="53"/>
  <c r="M7" i="53"/>
  <c r="E34" i="53"/>
  <c r="K34" i="27"/>
  <c r="I9" i="53"/>
  <c r="I7" i="53"/>
  <c r="I13" i="53"/>
  <c r="I9" i="27"/>
  <c r="I7" i="27"/>
  <c r="I13" i="27"/>
  <c r="E20" i="53"/>
  <c r="E20" i="27"/>
  <c r="L19" i="13"/>
  <c r="J34" i="53"/>
  <c r="G20" i="53"/>
  <c r="G20" i="27"/>
  <c r="N19" i="13"/>
  <c r="K34" i="53"/>
  <c r="F34" i="27"/>
  <c r="S19" i="13"/>
  <c r="L20" i="27"/>
  <c r="L20" i="53"/>
  <c r="G34" i="27"/>
  <c r="C34" i="27"/>
  <c r="H9" i="53"/>
  <c r="H7" i="53"/>
  <c r="H13" i="53"/>
  <c r="H9" i="27"/>
  <c r="H7" i="27"/>
  <c r="H13" i="27"/>
  <c r="F34" i="53"/>
  <c r="G34" i="53"/>
  <c r="F9" i="53"/>
  <c r="F7" i="53"/>
  <c r="F13" i="53"/>
  <c r="F9" i="27"/>
  <c r="F7" i="27"/>
  <c r="F13" i="27"/>
  <c r="F20" i="27"/>
  <c r="M19" i="13"/>
  <c r="F20" i="53"/>
  <c r="C34" i="53"/>
  <c r="G9" i="27"/>
  <c r="G7" i="27"/>
  <c r="G13" i="27"/>
  <c r="G9" i="53"/>
  <c r="G7" i="53"/>
  <c r="G13" i="53"/>
  <c r="D34" i="27"/>
  <c r="L9" i="53"/>
  <c r="L7" i="53"/>
  <c r="L13" i="53"/>
  <c r="L9" i="27"/>
  <c r="L7" i="27"/>
  <c r="L13" i="27"/>
  <c r="L34" i="53"/>
  <c r="K9" i="27"/>
  <c r="K7" i="27"/>
  <c r="K13" i="27"/>
  <c r="K9" i="53"/>
  <c r="K7" i="53"/>
  <c r="K13" i="53"/>
  <c r="D34" i="53"/>
  <c r="L34" i="27"/>
  <c r="D20" i="27"/>
  <c r="K19" i="13"/>
  <c r="D20" i="53"/>
  <c r="E9" i="53"/>
  <c r="E7" i="53"/>
  <c r="E13" i="53"/>
  <c r="E9" i="27"/>
  <c r="E7" i="27"/>
  <c r="E13" i="27"/>
  <c r="M19" i="53"/>
  <c r="M19" i="27"/>
  <c r="C10" i="27"/>
  <c r="C20" i="53"/>
  <c r="C20" i="27"/>
  <c r="J19" i="13"/>
  <c r="J20" i="53"/>
  <c r="Q19" i="13"/>
  <c r="J20" i="27"/>
  <c r="K20" i="53"/>
  <c r="R19" i="13"/>
  <c r="K20" i="27"/>
  <c r="I34" i="53"/>
  <c r="C10" i="53"/>
  <c r="H20" i="53"/>
  <c r="H20" i="27"/>
  <c r="O19" i="13"/>
  <c r="P55" i="49"/>
  <c r="P43" i="49"/>
  <c r="P31" i="49"/>
  <c r="P19" i="49"/>
  <c r="P19" i="26"/>
  <c r="P43" i="26"/>
  <c r="P55" i="26"/>
  <c r="P31" i="26"/>
  <c r="E48" i="31"/>
  <c r="O8" i="27"/>
  <c r="O8" i="53"/>
  <c r="Q7" i="37"/>
  <c r="Q7" i="49"/>
  <c r="Q7" i="29"/>
  <c r="Q17" i="53"/>
  <c r="Q29" i="27"/>
  <c r="Q6" i="53"/>
  <c r="Q7" i="36"/>
  <c r="Q29" i="53"/>
  <c r="Q7" i="26"/>
  <c r="Q17" i="27"/>
  <c r="Q46" i="53"/>
  <c r="Q46" i="27"/>
  <c r="Q6" i="27"/>
  <c r="M11" i="53"/>
  <c r="M11" i="27"/>
  <c r="T13" i="31"/>
  <c r="K32" i="27"/>
  <c r="K30" i="27"/>
  <c r="K18" i="27"/>
  <c r="E18" i="53"/>
  <c r="E32" i="53"/>
  <c r="E30" i="53"/>
  <c r="I18" i="53"/>
  <c r="I32" i="53"/>
  <c r="I30" i="53"/>
  <c r="C32" i="27"/>
  <c r="C18" i="27"/>
  <c r="D32" i="27"/>
  <c r="D30" i="27"/>
  <c r="D18" i="27"/>
  <c r="H18" i="27"/>
  <c r="H32" i="27"/>
  <c r="H30" i="27"/>
  <c r="K32" i="53"/>
  <c r="K30" i="53"/>
  <c r="K18" i="53"/>
  <c r="C32" i="53"/>
  <c r="C18" i="53"/>
  <c r="L32" i="53"/>
  <c r="L30" i="53"/>
  <c r="L18" i="53"/>
  <c r="L32" i="27"/>
  <c r="L30" i="27"/>
  <c r="L18" i="27"/>
  <c r="H18" i="53"/>
  <c r="H32" i="53"/>
  <c r="H30" i="53"/>
  <c r="J32" i="27"/>
  <c r="J30" i="27"/>
  <c r="J18" i="27"/>
  <c r="N19" i="53"/>
  <c r="N19" i="27"/>
  <c r="F32" i="53"/>
  <c r="F30" i="53"/>
  <c r="F18" i="53"/>
  <c r="J32" i="53"/>
  <c r="J30" i="53"/>
  <c r="J18" i="53"/>
  <c r="C7" i="27"/>
  <c r="M31" i="27"/>
  <c r="G18" i="27"/>
  <c r="G32" i="27"/>
  <c r="G30" i="27"/>
  <c r="C7" i="53"/>
  <c r="F18" i="27"/>
  <c r="F32" i="27"/>
  <c r="F30" i="27"/>
  <c r="G18" i="53"/>
  <c r="G32" i="53"/>
  <c r="G30" i="53"/>
  <c r="I18" i="27"/>
  <c r="I32" i="27"/>
  <c r="I30" i="27"/>
  <c r="M31" i="53"/>
  <c r="D32" i="53"/>
  <c r="D30" i="53"/>
  <c r="D18" i="53"/>
  <c r="E32" i="27"/>
  <c r="E30" i="27"/>
  <c r="E18" i="27"/>
  <c r="P35" i="26"/>
  <c r="P59" i="26"/>
  <c r="P35" i="49"/>
  <c r="P59" i="49"/>
  <c r="M10" i="27"/>
  <c r="N35" i="26"/>
  <c r="N59" i="26"/>
  <c r="N35" i="49"/>
  <c r="N59" i="49"/>
  <c r="M10" i="53"/>
  <c r="N11" i="53"/>
  <c r="N10" i="53"/>
  <c r="N11" i="27"/>
  <c r="N10" i="27"/>
  <c r="N9" i="27"/>
  <c r="N9" i="53"/>
  <c r="R35" i="49"/>
  <c r="R59" i="49"/>
  <c r="R35" i="26"/>
  <c r="R59" i="26"/>
  <c r="F35" i="26"/>
  <c r="F59" i="26"/>
  <c r="F35" i="49"/>
  <c r="F59" i="49"/>
  <c r="H35" i="49"/>
  <c r="H59" i="49"/>
  <c r="H35" i="26"/>
  <c r="H59" i="26"/>
  <c r="O35" i="26"/>
  <c r="O59" i="26"/>
  <c r="O35" i="49"/>
  <c r="O59" i="49"/>
  <c r="Q43" i="49"/>
  <c r="Q31" i="49"/>
  <c r="Q19" i="49"/>
  <c r="Q55" i="49"/>
  <c r="P8" i="27"/>
  <c r="P8" i="53"/>
  <c r="Q35" i="49"/>
  <c r="Q59" i="49"/>
  <c r="Q35" i="26"/>
  <c r="Q59" i="26"/>
  <c r="M35" i="49"/>
  <c r="M59" i="49"/>
  <c r="M35" i="26"/>
  <c r="M59" i="26"/>
  <c r="L35" i="26"/>
  <c r="L59" i="26"/>
  <c r="L35" i="49"/>
  <c r="L59" i="49"/>
  <c r="J35" i="26"/>
  <c r="J59" i="26"/>
  <c r="J35" i="49"/>
  <c r="J59" i="49"/>
  <c r="R17" i="53"/>
  <c r="R29" i="53"/>
  <c r="R7" i="26"/>
  <c r="R46" i="27"/>
  <c r="R7" i="36"/>
  <c r="R17" i="27"/>
  <c r="R6" i="53"/>
  <c r="R7" i="37"/>
  <c r="R6" i="27"/>
  <c r="R7" i="29"/>
  <c r="R46" i="53"/>
  <c r="R29" i="27"/>
  <c r="R7" i="49"/>
  <c r="G35" i="49"/>
  <c r="G59" i="49"/>
  <c r="G35" i="26"/>
  <c r="G59" i="26"/>
  <c r="E35" i="26"/>
  <c r="E59" i="26"/>
  <c r="E35" i="49"/>
  <c r="E59" i="49"/>
  <c r="O9" i="27"/>
  <c r="O7" i="27"/>
  <c r="O9" i="53"/>
  <c r="O7" i="53"/>
  <c r="C35" i="49"/>
  <c r="C35" i="26"/>
  <c r="I35" i="26"/>
  <c r="I59" i="26"/>
  <c r="I35" i="49"/>
  <c r="I59" i="49"/>
  <c r="Q31" i="26"/>
  <c r="Q55" i="26"/>
  <c r="Q19" i="26"/>
  <c r="Q43" i="26"/>
  <c r="K35" i="26"/>
  <c r="K59" i="26"/>
  <c r="K35" i="49"/>
  <c r="K59" i="49"/>
  <c r="D35" i="26"/>
  <c r="D59" i="26"/>
  <c r="D35" i="49"/>
  <c r="D59" i="49"/>
  <c r="U13" i="31"/>
  <c r="H49" i="23"/>
  <c r="O19" i="27"/>
  <c r="O19" i="53"/>
  <c r="T19" i="13"/>
  <c r="M20" i="27"/>
  <c r="M20" i="53"/>
  <c r="C13" i="53"/>
  <c r="N31" i="27"/>
  <c r="H75" i="23"/>
  <c r="H74" i="23"/>
  <c r="N31" i="53"/>
  <c r="M22" i="53"/>
  <c r="M22" i="27"/>
  <c r="H78" i="23"/>
  <c r="C30" i="53"/>
  <c r="H50" i="23"/>
  <c r="H79" i="23"/>
  <c r="C13" i="27"/>
  <c r="H42" i="23"/>
  <c r="C30" i="27"/>
  <c r="H20" i="23"/>
  <c r="H54" i="23"/>
  <c r="R11" i="49"/>
  <c r="R11" i="26"/>
  <c r="R23" i="26"/>
  <c r="R47" i="26"/>
  <c r="R23" i="49"/>
  <c r="R47" i="49"/>
  <c r="M23" i="26"/>
  <c r="M47" i="26"/>
  <c r="M11" i="49"/>
  <c r="M23" i="49"/>
  <c r="M47" i="49"/>
  <c r="AF81" i="23"/>
  <c r="M11" i="26"/>
  <c r="R31" i="26"/>
  <c r="R19" i="26"/>
  <c r="R43" i="26"/>
  <c r="R55" i="26"/>
  <c r="O11" i="53"/>
  <c r="O10" i="53"/>
  <c r="O13" i="53"/>
  <c r="O11" i="27"/>
  <c r="H23" i="26"/>
  <c r="H47" i="26"/>
  <c r="H11" i="26"/>
  <c r="H23" i="49"/>
  <c r="H47" i="49"/>
  <c r="H11" i="49"/>
  <c r="AA81" i="23"/>
  <c r="R31" i="49"/>
  <c r="R55" i="49"/>
  <c r="R19" i="49"/>
  <c r="R43" i="49"/>
  <c r="N7" i="27"/>
  <c r="F11" i="49"/>
  <c r="F23" i="26"/>
  <c r="F47" i="26"/>
  <c r="F23" i="49"/>
  <c r="F47" i="49"/>
  <c r="F11" i="26"/>
  <c r="G23" i="26"/>
  <c r="G47" i="26"/>
  <c r="G11" i="49"/>
  <c r="G23" i="49"/>
  <c r="G47" i="49"/>
  <c r="G11" i="26"/>
  <c r="L23" i="49"/>
  <c r="L47" i="49"/>
  <c r="L11" i="49"/>
  <c r="AE81" i="23"/>
  <c r="L23" i="26"/>
  <c r="L47" i="26"/>
  <c r="L11" i="26"/>
  <c r="C11" i="26"/>
  <c r="C23" i="49"/>
  <c r="C11" i="49"/>
  <c r="C23" i="26"/>
  <c r="AB81" i="23"/>
  <c r="I11" i="26"/>
  <c r="I23" i="26"/>
  <c r="I47" i="26"/>
  <c r="I23" i="49"/>
  <c r="I47" i="49"/>
  <c r="I11" i="49"/>
  <c r="N11" i="26"/>
  <c r="N23" i="26"/>
  <c r="N47" i="26"/>
  <c r="N23" i="49"/>
  <c r="N47" i="49"/>
  <c r="N11" i="49"/>
  <c r="O23" i="49"/>
  <c r="O47" i="49"/>
  <c r="O11" i="49"/>
  <c r="O23" i="26"/>
  <c r="O47" i="26"/>
  <c r="O11" i="26"/>
  <c r="P23" i="49"/>
  <c r="P47" i="49"/>
  <c r="P11" i="49"/>
  <c r="P11" i="26"/>
  <c r="P23" i="26"/>
  <c r="P47" i="26"/>
  <c r="Q8" i="27"/>
  <c r="Q8" i="53"/>
  <c r="H57" i="23"/>
  <c r="S35" i="26"/>
  <c r="S59" i="26"/>
  <c r="C59" i="26"/>
  <c r="J23" i="26"/>
  <c r="J47" i="26"/>
  <c r="J23" i="49"/>
  <c r="J47" i="49"/>
  <c r="AC81" i="23"/>
  <c r="J11" i="49"/>
  <c r="J11" i="26"/>
  <c r="K11" i="49"/>
  <c r="K23" i="49"/>
  <c r="K47" i="49"/>
  <c r="AD81" i="23"/>
  <c r="K23" i="26"/>
  <c r="K47" i="26"/>
  <c r="K11" i="26"/>
  <c r="H77" i="23"/>
  <c r="M13" i="27"/>
  <c r="S35" i="49"/>
  <c r="S59" i="49"/>
  <c r="C59" i="49"/>
  <c r="E11" i="26"/>
  <c r="E11" i="49"/>
  <c r="E23" i="26"/>
  <c r="E47" i="26"/>
  <c r="E23" i="49"/>
  <c r="E47" i="49"/>
  <c r="N7" i="53"/>
  <c r="P9" i="27"/>
  <c r="P7" i="27"/>
  <c r="P9" i="53"/>
  <c r="P7" i="53"/>
  <c r="D11" i="49"/>
  <c r="D23" i="26"/>
  <c r="D47" i="26"/>
  <c r="D11" i="26"/>
  <c r="D23" i="49"/>
  <c r="D47" i="49"/>
  <c r="Q11" i="49"/>
  <c r="Q11" i="26"/>
  <c r="Q23" i="26"/>
  <c r="Q47" i="26"/>
  <c r="Q23" i="49"/>
  <c r="Q47" i="49"/>
  <c r="M13" i="53"/>
  <c r="V13" i="31"/>
  <c r="W13" i="31"/>
  <c r="H27" i="23"/>
  <c r="O22" i="53"/>
  <c r="O22" i="27"/>
  <c r="M34" i="53"/>
  <c r="O31" i="27"/>
  <c r="H16" i="23"/>
  <c r="H58" i="23"/>
  <c r="H56" i="23"/>
  <c r="H26" i="23"/>
  <c r="H73" i="23"/>
  <c r="M32" i="53"/>
  <c r="M18" i="53"/>
  <c r="P19" i="27"/>
  <c r="P19" i="53"/>
  <c r="M32" i="27"/>
  <c r="M18" i="27"/>
  <c r="H19" i="23"/>
  <c r="H15" i="23"/>
  <c r="H51" i="23"/>
  <c r="H48" i="23"/>
  <c r="H47" i="23"/>
  <c r="O20" i="53"/>
  <c r="O32" i="53"/>
  <c r="V19" i="13"/>
  <c r="O20" i="27"/>
  <c r="O32" i="27"/>
  <c r="H68" i="23"/>
  <c r="AC42" i="23"/>
  <c r="X42" i="23"/>
  <c r="AA42" i="23"/>
  <c r="AB42" i="23"/>
  <c r="AE42" i="23"/>
  <c r="AF42" i="23"/>
  <c r="Z42" i="23"/>
  <c r="W42" i="23"/>
  <c r="V42" i="23"/>
  <c r="AG42" i="23"/>
  <c r="AD42" i="23"/>
  <c r="Y42" i="23"/>
  <c r="H70" i="23"/>
  <c r="U19" i="13"/>
  <c r="N20" i="53"/>
  <c r="N20" i="27"/>
  <c r="N22" i="53"/>
  <c r="N22" i="27"/>
  <c r="M34" i="27"/>
  <c r="O31" i="53"/>
  <c r="O18" i="53"/>
  <c r="H28" i="23"/>
  <c r="R8" i="53"/>
  <c r="S8" i="53"/>
  <c r="R8" i="27"/>
  <c r="S8" i="27"/>
  <c r="AG81" i="23"/>
  <c r="C47" i="26"/>
  <c r="S23" i="26"/>
  <c r="S47" i="26"/>
  <c r="P11" i="27"/>
  <c r="P10" i="27"/>
  <c r="P11" i="53"/>
  <c r="P13" i="27"/>
  <c r="S11" i="49"/>
  <c r="C47" i="49"/>
  <c r="S23" i="49"/>
  <c r="S47" i="49"/>
  <c r="S11" i="26"/>
  <c r="N13" i="27"/>
  <c r="O10" i="27"/>
  <c r="N13" i="53"/>
  <c r="H64" i="23"/>
  <c r="H31" i="23"/>
  <c r="F49" i="23"/>
  <c r="F51" i="23"/>
  <c r="F50" i="23"/>
  <c r="W74" i="23"/>
  <c r="F57" i="23"/>
  <c r="F58" i="23"/>
  <c r="H65" i="23"/>
  <c r="AC74" i="23"/>
  <c r="M30" i="53"/>
  <c r="H23" i="23"/>
  <c r="O30" i="53"/>
  <c r="H24" i="23"/>
  <c r="O18" i="27"/>
  <c r="N32" i="27"/>
  <c r="N30" i="27"/>
  <c r="N18" i="27"/>
  <c r="H10" i="23"/>
  <c r="H46" i="23"/>
  <c r="H45" i="23"/>
  <c r="O30" i="27"/>
  <c r="Y74" i="23"/>
  <c r="H14" i="23"/>
  <c r="H37" i="23"/>
  <c r="N32" i="53"/>
  <c r="N30" i="53"/>
  <c r="N18" i="53"/>
  <c r="AF74" i="23"/>
  <c r="AD74" i="23"/>
  <c r="H12" i="23"/>
  <c r="Q19" i="53"/>
  <c r="Q19" i="27"/>
  <c r="Z74" i="23"/>
  <c r="H53" i="23"/>
  <c r="X74" i="23"/>
  <c r="P31" i="53"/>
  <c r="H55" i="23"/>
  <c r="AA74" i="23"/>
  <c r="V74" i="23"/>
  <c r="P31" i="27"/>
  <c r="O34" i="27"/>
  <c r="N34" i="27"/>
  <c r="AE74" i="23"/>
  <c r="H43" i="23"/>
  <c r="O34" i="53"/>
  <c r="N34" i="53"/>
  <c r="AB74" i="23"/>
  <c r="M30" i="27"/>
  <c r="AA77" i="23"/>
  <c r="H18" i="23"/>
  <c r="AC77" i="23"/>
  <c r="W77" i="23"/>
  <c r="AF77" i="23"/>
  <c r="V77" i="23"/>
  <c r="H80" i="23"/>
  <c r="H76" i="23"/>
  <c r="Q9" i="53"/>
  <c r="Q9" i="27"/>
  <c r="G25" i="43"/>
  <c r="H66" i="23"/>
  <c r="H63" i="23"/>
  <c r="O13" i="27"/>
  <c r="AE77" i="23"/>
  <c r="H29" i="23"/>
  <c r="P10" i="53"/>
  <c r="H72" i="23"/>
  <c r="H71" i="23"/>
  <c r="AD77" i="23"/>
  <c r="AB77" i="23"/>
  <c r="Z77" i="23"/>
  <c r="I25" i="43"/>
  <c r="H38" i="23"/>
  <c r="H30" i="23"/>
  <c r="Q11" i="27"/>
  <c r="Q11" i="53"/>
  <c r="Q10" i="53"/>
  <c r="H62" i="23"/>
  <c r="X77" i="23"/>
  <c r="Q26" i="43"/>
  <c r="Y77" i="23"/>
  <c r="K25" i="43"/>
  <c r="X49" i="23"/>
  <c r="H52" i="23"/>
  <c r="H44" i="23"/>
  <c r="AB47" i="23"/>
  <c r="AE47" i="23"/>
  <c r="AB78" i="23"/>
  <c r="Z78" i="23"/>
  <c r="AF79" i="23"/>
  <c r="AD49" i="23"/>
  <c r="V49" i="23"/>
  <c r="X78" i="23"/>
  <c r="AB79" i="23"/>
  <c r="AF49" i="23"/>
  <c r="R19" i="27"/>
  <c r="S19" i="27"/>
  <c r="R19" i="53"/>
  <c r="W47" i="23"/>
  <c r="W78" i="23"/>
  <c r="X79" i="23"/>
  <c r="Y68" i="23"/>
  <c r="AE68" i="23"/>
  <c r="H61" i="23"/>
  <c r="H60" i="23"/>
  <c r="F46" i="23"/>
  <c r="F47" i="23"/>
  <c r="AC68" i="23"/>
  <c r="AF47" i="23"/>
  <c r="AE79" i="23"/>
  <c r="AC79" i="23"/>
  <c r="AD47" i="23"/>
  <c r="AE49" i="23"/>
  <c r="AC47" i="23"/>
  <c r="AE78" i="23"/>
  <c r="AA49" i="23"/>
  <c r="F74" i="23"/>
  <c r="F75" i="23"/>
  <c r="F73" i="23"/>
  <c r="F72" i="23"/>
  <c r="Q31" i="27"/>
  <c r="AA47" i="23"/>
  <c r="H41" i="23"/>
  <c r="P22" i="53"/>
  <c r="P22" i="27"/>
  <c r="AA78" i="23"/>
  <c r="AF68" i="23"/>
  <c r="AG74" i="23"/>
  <c r="W49" i="23"/>
  <c r="H25" i="23"/>
  <c r="Q31" i="53"/>
  <c r="S19" i="53"/>
  <c r="X47" i="23"/>
  <c r="Z79" i="23"/>
  <c r="V68" i="23"/>
  <c r="AB68" i="23"/>
  <c r="AB49" i="23"/>
  <c r="Z49" i="23"/>
  <c r="W19" i="13"/>
  <c r="P20" i="27"/>
  <c r="P20" i="53"/>
  <c r="V47" i="23"/>
  <c r="AC78" i="23"/>
  <c r="V78" i="23"/>
  <c r="Y79" i="23"/>
  <c r="W79" i="23"/>
  <c r="Z68" i="23"/>
  <c r="X68" i="23"/>
  <c r="Y49" i="23"/>
  <c r="Y78" i="23"/>
  <c r="V79" i="23"/>
  <c r="W68" i="23"/>
  <c r="AD79" i="23"/>
  <c r="AC49" i="23"/>
  <c r="Y47" i="23"/>
  <c r="Z47" i="23"/>
  <c r="AF78" i="23"/>
  <c r="AD78" i="23"/>
  <c r="AA79" i="23"/>
  <c r="AD68" i="23"/>
  <c r="AA68" i="23"/>
  <c r="F64" i="23"/>
  <c r="F66" i="23"/>
  <c r="F65" i="23"/>
  <c r="Q32" i="43"/>
  <c r="R9" i="53"/>
  <c r="R7" i="53"/>
  <c r="R9" i="27"/>
  <c r="R7" i="27"/>
  <c r="Q28" i="43"/>
  <c r="Q7" i="43"/>
  <c r="Q27" i="43"/>
  <c r="F78" i="23"/>
  <c r="F80" i="23"/>
  <c r="F77" i="23"/>
  <c r="F79" i="23"/>
  <c r="Q31" i="43"/>
  <c r="H69" i="23"/>
  <c r="H67" i="23"/>
  <c r="H21" i="23"/>
  <c r="H17" i="23"/>
  <c r="P13" i="53"/>
  <c r="AF48" i="23"/>
  <c r="W48" i="23"/>
  <c r="Q7" i="27"/>
  <c r="S9" i="27"/>
  <c r="H36" i="23"/>
  <c r="Q33" i="43"/>
  <c r="H32" i="23"/>
  <c r="Q7" i="53"/>
  <c r="S9" i="53"/>
  <c r="R11" i="27"/>
  <c r="R10" i="27"/>
  <c r="R11" i="53"/>
  <c r="R10" i="53"/>
  <c r="S10" i="53"/>
  <c r="Q30" i="43"/>
  <c r="E25" i="43"/>
  <c r="Q29" i="43"/>
  <c r="Q10" i="27"/>
  <c r="S10" i="27"/>
  <c r="S11" i="27"/>
  <c r="T11" i="27"/>
  <c r="AG77" i="23"/>
  <c r="F48" i="23"/>
  <c r="F56" i="23"/>
  <c r="F45" i="23"/>
  <c r="AG79" i="23"/>
  <c r="X58" i="23"/>
  <c r="AF10" i="23"/>
  <c r="W75" i="23"/>
  <c r="AA51" i="23"/>
  <c r="AD51" i="23"/>
  <c r="AB58" i="23"/>
  <c r="AC58" i="23"/>
  <c r="Q20" i="27"/>
  <c r="X19" i="13"/>
  <c r="Q20" i="53"/>
  <c r="V46" i="23"/>
  <c r="W46" i="23"/>
  <c r="Y15" i="23"/>
  <c r="V73" i="23"/>
  <c r="Z73" i="23"/>
  <c r="AC75" i="23"/>
  <c r="X51" i="23"/>
  <c r="P34" i="27"/>
  <c r="AE46" i="23"/>
  <c r="AA46" i="23"/>
  <c r="Y27" i="23"/>
  <c r="AF73" i="23"/>
  <c r="AC51" i="23"/>
  <c r="P34" i="53"/>
  <c r="AC46" i="23"/>
  <c r="X27" i="23"/>
  <c r="V15" i="23"/>
  <c r="AC73" i="23"/>
  <c r="AC10" i="23"/>
  <c r="AD75" i="23"/>
  <c r="X10" i="23"/>
  <c r="V75" i="23"/>
  <c r="Z75" i="23"/>
  <c r="AG47" i="23"/>
  <c r="V51" i="23"/>
  <c r="Q22" i="53"/>
  <c r="Q22" i="27"/>
  <c r="AE58" i="23"/>
  <c r="V27" i="23"/>
  <c r="AC27" i="23"/>
  <c r="AC15" i="23"/>
  <c r="AB73" i="23"/>
  <c r="AF75" i="23"/>
  <c r="AD10" i="23"/>
  <c r="X75" i="23"/>
  <c r="AG68" i="23"/>
  <c r="AA58" i="23"/>
  <c r="Z58" i="23"/>
  <c r="AF27" i="23"/>
  <c r="AA15" i="23"/>
  <c r="AG49" i="23"/>
  <c r="F52" i="23"/>
  <c r="F53" i="23"/>
  <c r="F55" i="23"/>
  <c r="F54" i="23"/>
  <c r="V10" i="23"/>
  <c r="AG78" i="23"/>
  <c r="Y51" i="23"/>
  <c r="W58" i="23"/>
  <c r="Z46" i="23"/>
  <c r="W15" i="23"/>
  <c r="R31" i="53"/>
  <c r="X73" i="23"/>
  <c r="W10" i="23"/>
  <c r="AE10" i="23"/>
  <c r="AA10" i="23"/>
  <c r="AB51" i="23"/>
  <c r="Z51" i="23"/>
  <c r="V58" i="23"/>
  <c r="AB46" i="23"/>
  <c r="AD46" i="23"/>
  <c r="AD27" i="23"/>
  <c r="W27" i="23"/>
  <c r="AD15" i="23"/>
  <c r="AF15" i="23"/>
  <c r="R31" i="27"/>
  <c r="S31" i="27"/>
  <c r="W73" i="23"/>
  <c r="Y73" i="23"/>
  <c r="AB10" i="23"/>
  <c r="AB75" i="23"/>
  <c r="P32" i="53"/>
  <c r="P18" i="53"/>
  <c r="AE51" i="23"/>
  <c r="AD58" i="23"/>
  <c r="Y46" i="23"/>
  <c r="Z15" i="23"/>
  <c r="AF46" i="23"/>
  <c r="AA27" i="23"/>
  <c r="AD73" i="23"/>
  <c r="AE73" i="23"/>
  <c r="F62" i="23"/>
  <c r="F61" i="23"/>
  <c r="H59" i="23"/>
  <c r="Z27" i="23"/>
  <c r="AB27" i="23"/>
  <c r="AA73" i="23"/>
  <c r="Y10" i="23"/>
  <c r="AE75" i="23"/>
  <c r="Z10" i="23"/>
  <c r="Y75" i="23"/>
  <c r="AF51" i="23"/>
  <c r="W51" i="23"/>
  <c r="Y58" i="23"/>
  <c r="AE27" i="23"/>
  <c r="AB15" i="23"/>
  <c r="AE15" i="23"/>
  <c r="P32" i="27"/>
  <c r="P18" i="27"/>
  <c r="AA75" i="23"/>
  <c r="AE43" i="23"/>
  <c r="Z43" i="23"/>
  <c r="Y43" i="23"/>
  <c r="AD43" i="23"/>
  <c r="AC43" i="23"/>
  <c r="W43" i="23"/>
  <c r="X43" i="23"/>
  <c r="V43" i="23"/>
  <c r="AG43" i="23"/>
  <c r="AA43" i="23"/>
  <c r="AB43" i="23"/>
  <c r="AF43" i="23"/>
  <c r="AF58" i="23"/>
  <c r="X46" i="23"/>
  <c r="X15" i="23"/>
  <c r="S7" i="53"/>
  <c r="T9" i="53"/>
  <c r="AC50" i="23"/>
  <c r="AA54" i="23"/>
  <c r="Z54" i="23"/>
  <c r="Z64" i="23"/>
  <c r="W64" i="23"/>
  <c r="Q13" i="53"/>
  <c r="K2" i="43"/>
  <c r="AB64" i="23"/>
  <c r="Y50" i="23"/>
  <c r="AC20" i="23"/>
  <c r="S11" i="53"/>
  <c r="T11" i="53"/>
  <c r="AE64" i="23"/>
  <c r="AA64" i="23"/>
  <c r="X50" i="23"/>
  <c r="AF54" i="23"/>
  <c r="W54" i="23"/>
  <c r="AC64" i="23"/>
  <c r="Z48" i="23"/>
  <c r="Z50" i="23"/>
  <c r="AF20" i="23"/>
  <c r="X20" i="23"/>
  <c r="R4" i="43"/>
  <c r="X54" i="23"/>
  <c r="V54" i="23"/>
  <c r="V64" i="23"/>
  <c r="AD64" i="23"/>
  <c r="AB50" i="23"/>
  <c r="AB48" i="23"/>
  <c r="AA50" i="23"/>
  <c r="Z38" i="23"/>
  <c r="V38" i="23"/>
  <c r="AG38" i="23"/>
  <c r="AC38" i="23"/>
  <c r="AB38" i="23"/>
  <c r="W38" i="23"/>
  <c r="AD38" i="23"/>
  <c r="AA38" i="23"/>
  <c r="AF38" i="23"/>
  <c r="AE38" i="23"/>
  <c r="X38" i="23"/>
  <c r="Y38" i="23"/>
  <c r="Y20" i="23"/>
  <c r="AC54" i="23"/>
  <c r="R21" i="26"/>
  <c r="R45" i="26"/>
  <c r="Q13" i="27"/>
  <c r="S7" i="27"/>
  <c r="T9" i="27"/>
  <c r="V50" i="23"/>
  <c r="AF50" i="23"/>
  <c r="AB54" i="23"/>
  <c r="AE50" i="23"/>
  <c r="AB20" i="23"/>
  <c r="Z20" i="23"/>
  <c r="Q34" i="43"/>
  <c r="R34" i="43"/>
  <c r="Y54" i="23"/>
  <c r="AF64" i="23"/>
  <c r="AD20" i="23"/>
  <c r="R13" i="27"/>
  <c r="AE54" i="23"/>
  <c r="AA20" i="23"/>
  <c r="F68" i="23"/>
  <c r="F70" i="23"/>
  <c r="F69" i="23"/>
  <c r="R13" i="53"/>
  <c r="AD54" i="23"/>
  <c r="Q10" i="49"/>
  <c r="AD50" i="23"/>
  <c r="AE20" i="23"/>
  <c r="V20" i="23"/>
  <c r="AG20" i="23"/>
  <c r="W50" i="23"/>
  <c r="W20" i="23"/>
  <c r="AE48" i="23"/>
  <c r="Y64" i="23"/>
  <c r="X64" i="23"/>
  <c r="P34" i="49"/>
  <c r="P58" i="49"/>
  <c r="P33" i="26"/>
  <c r="P57" i="26"/>
  <c r="E34" i="49"/>
  <c r="E58" i="49"/>
  <c r="E33" i="26"/>
  <c r="E57" i="26"/>
  <c r="K33" i="26"/>
  <c r="K57" i="26"/>
  <c r="K34" i="49"/>
  <c r="K58" i="49"/>
  <c r="H34" i="49"/>
  <c r="H58" i="49"/>
  <c r="H33" i="26"/>
  <c r="H57" i="26"/>
  <c r="Q9" i="26"/>
  <c r="R34" i="49"/>
  <c r="R58" i="49"/>
  <c r="R33" i="26"/>
  <c r="R57" i="26"/>
  <c r="C34" i="49"/>
  <c r="C33" i="26"/>
  <c r="I33" i="26"/>
  <c r="I57" i="26"/>
  <c r="I34" i="49"/>
  <c r="I58" i="49"/>
  <c r="R22" i="49"/>
  <c r="R46" i="49"/>
  <c r="R10" i="49"/>
  <c r="Y61" i="23"/>
  <c r="G33" i="26"/>
  <c r="G57" i="26"/>
  <c r="G34" i="49"/>
  <c r="G58" i="49"/>
  <c r="O34" i="49"/>
  <c r="O58" i="49"/>
  <c r="O33" i="26"/>
  <c r="O57" i="26"/>
  <c r="P30" i="53"/>
  <c r="AE53" i="23"/>
  <c r="AE52" i="23"/>
  <c r="AC53" i="23"/>
  <c r="AC52" i="23"/>
  <c r="AG58" i="23"/>
  <c r="AE61" i="23"/>
  <c r="S31" i="53"/>
  <c r="AC55" i="23"/>
  <c r="AB12" i="23"/>
  <c r="V45" i="23"/>
  <c r="D33" i="26"/>
  <c r="D57" i="26"/>
  <c r="D34" i="49"/>
  <c r="D58" i="49"/>
  <c r="Q33" i="26"/>
  <c r="Q57" i="26"/>
  <c r="Q34" i="49"/>
  <c r="Q58" i="49"/>
  <c r="X53" i="23"/>
  <c r="X52" i="23"/>
  <c r="AA61" i="23"/>
  <c r="AF55" i="23"/>
  <c r="AD55" i="23"/>
  <c r="V12" i="23"/>
  <c r="Q32" i="27"/>
  <c r="Q30" i="27"/>
  <c r="Q18" i="27"/>
  <c r="AF37" i="23"/>
  <c r="AE37" i="23"/>
  <c r="AD37" i="23"/>
  <c r="Y37" i="23"/>
  <c r="V37" i="23"/>
  <c r="AG37" i="23"/>
  <c r="AC37" i="23"/>
  <c r="X37" i="23"/>
  <c r="W37" i="23"/>
  <c r="AB37" i="23"/>
  <c r="AA37" i="23"/>
  <c r="Z37" i="23"/>
  <c r="W53" i="23"/>
  <c r="W52" i="23"/>
  <c r="R22" i="53"/>
  <c r="R22" i="27"/>
  <c r="Z45" i="23"/>
  <c r="N34" i="49"/>
  <c r="N58" i="49"/>
  <c r="N33" i="26"/>
  <c r="N57" i="26"/>
  <c r="V55" i="23"/>
  <c r="Z55" i="23"/>
  <c r="AE45" i="23"/>
  <c r="AG46" i="23"/>
  <c r="AC16" i="23"/>
  <c r="AA16" i="23"/>
  <c r="AB53" i="23"/>
  <c r="AB52" i="23"/>
  <c r="Z53" i="23"/>
  <c r="Z52" i="23"/>
  <c r="X55" i="23"/>
  <c r="AE12" i="23"/>
  <c r="Y12" i="23"/>
  <c r="AG73" i="23"/>
  <c r="Z61" i="23"/>
  <c r="AC45" i="23"/>
  <c r="X12" i="23"/>
  <c r="Z41" i="23"/>
  <c r="AF41" i="23"/>
  <c r="AB41" i="23"/>
  <c r="Y41" i="23"/>
  <c r="V41" i="23"/>
  <c r="AG41" i="23"/>
  <c r="AE41" i="23"/>
  <c r="AA41" i="23"/>
  <c r="X41" i="23"/>
  <c r="W41" i="23"/>
  <c r="AC41" i="23"/>
  <c r="AD41" i="23"/>
  <c r="F76" i="23"/>
  <c r="F67" i="23"/>
  <c r="F71" i="23"/>
  <c r="F63" i="23"/>
  <c r="F60" i="23"/>
  <c r="R20" i="53"/>
  <c r="R20" i="27"/>
  <c r="Y19" i="13"/>
  <c r="AE16" i="23"/>
  <c r="Y16" i="23"/>
  <c r="AF53" i="23"/>
  <c r="AF52" i="23"/>
  <c r="AB61" i="23"/>
  <c r="AF61" i="23"/>
  <c r="AF12" i="23"/>
  <c r="AC12" i="23"/>
  <c r="AF45" i="23"/>
  <c r="Y53" i="23"/>
  <c r="Y52" i="23"/>
  <c r="J33" i="26"/>
  <c r="J57" i="26"/>
  <c r="J34" i="49"/>
  <c r="J58" i="49"/>
  <c r="W16" i="23"/>
  <c r="AD53" i="23"/>
  <c r="AD52" i="23"/>
  <c r="AD45" i="23"/>
  <c r="V61" i="23"/>
  <c r="AB55" i="23"/>
  <c r="Y55" i="23"/>
  <c r="V48" i="23"/>
  <c r="AG51" i="23"/>
  <c r="W12" i="23"/>
  <c r="E47" i="31"/>
  <c r="L34" i="49"/>
  <c r="L58" i="49"/>
  <c r="L33" i="26"/>
  <c r="L57" i="26"/>
  <c r="X16" i="23"/>
  <c r="Y48" i="23"/>
  <c r="X61" i="23"/>
  <c r="AE55" i="23"/>
  <c r="AA12" i="23"/>
  <c r="AD12" i="23"/>
  <c r="H35" i="23"/>
  <c r="AF16" i="23"/>
  <c r="V53" i="23"/>
  <c r="V52" i="23"/>
  <c r="AC61" i="23"/>
  <c r="AG10" i="23"/>
  <c r="Z12" i="23"/>
  <c r="X45" i="23"/>
  <c r="P30" i="27"/>
  <c r="V16" i="23"/>
  <c r="AD16" i="23"/>
  <c r="AA53" i="23"/>
  <c r="AA52" i="23"/>
  <c r="AB45" i="23"/>
  <c r="F34" i="49"/>
  <c r="F58" i="49"/>
  <c r="F33" i="26"/>
  <c r="F57" i="26"/>
  <c r="W61" i="23"/>
  <c r="H11" i="23"/>
  <c r="W45" i="23"/>
  <c r="Y45" i="23"/>
  <c r="Z16" i="23"/>
  <c r="AD48" i="23"/>
  <c r="AA55" i="23"/>
  <c r="AG27" i="23"/>
  <c r="Q34" i="27"/>
  <c r="AG15" i="23"/>
  <c r="M34" i="49"/>
  <c r="M58" i="49"/>
  <c r="M33" i="26"/>
  <c r="M57" i="26"/>
  <c r="O22" i="49"/>
  <c r="O46" i="49"/>
  <c r="O10" i="49"/>
  <c r="O21" i="26"/>
  <c r="O45" i="26"/>
  <c r="O9" i="26"/>
  <c r="AB16" i="23"/>
  <c r="X48" i="23"/>
  <c r="AD61" i="23"/>
  <c r="W55" i="23"/>
  <c r="Q34" i="53"/>
  <c r="AG75" i="23"/>
  <c r="AA45" i="23"/>
  <c r="Q32" i="53"/>
  <c r="Q30" i="53"/>
  <c r="Q18" i="53"/>
  <c r="N9" i="26"/>
  <c r="N21" i="26"/>
  <c r="N45" i="26"/>
  <c r="N10" i="49"/>
  <c r="N22" i="49"/>
  <c r="N46" i="49"/>
  <c r="AF69" i="23"/>
  <c r="AF67" i="23"/>
  <c r="AD67" i="23"/>
  <c r="AD69" i="23"/>
  <c r="AF28" i="23"/>
  <c r="Y62" i="23"/>
  <c r="X62" i="23"/>
  <c r="W19" i="23"/>
  <c r="AD57" i="23"/>
  <c r="X57" i="23"/>
  <c r="AA26" i="23"/>
  <c r="AC69" i="23"/>
  <c r="AC67" i="23"/>
  <c r="W28" i="23"/>
  <c r="V28" i="23"/>
  <c r="Y29" i="23"/>
  <c r="Y31" i="23"/>
  <c r="AE19" i="23"/>
  <c r="R9" i="26"/>
  <c r="Q22" i="49"/>
  <c r="Q46" i="49"/>
  <c r="S13" i="53"/>
  <c r="T10" i="53"/>
  <c r="AB57" i="23"/>
  <c r="V57" i="23"/>
  <c r="AG57" i="23"/>
  <c r="Y26" i="23"/>
  <c r="AB26" i="23"/>
  <c r="AA67" i="23"/>
  <c r="AA69" i="23"/>
  <c r="T7" i="53"/>
  <c r="T13" i="53"/>
  <c r="T8" i="53"/>
  <c r="AB70" i="23"/>
  <c r="AB19" i="23"/>
  <c r="AC19" i="23"/>
  <c r="W26" i="23"/>
  <c r="X28" i="23"/>
  <c r="Z29" i="23"/>
  <c r="V31" i="23"/>
  <c r="AA31" i="23"/>
  <c r="V70" i="23"/>
  <c r="AD19" i="23"/>
  <c r="V19" i="23"/>
  <c r="AG19" i="23"/>
  <c r="Q21" i="26"/>
  <c r="Q45" i="26"/>
  <c r="Z57" i="23"/>
  <c r="AC26" i="23"/>
  <c r="AF26" i="23"/>
  <c r="S13" i="27"/>
  <c r="T10" i="27"/>
  <c r="AG50" i="23"/>
  <c r="AG54" i="23"/>
  <c r="W67" i="23"/>
  <c r="W69" i="23"/>
  <c r="AF29" i="23"/>
  <c r="AA29" i="23"/>
  <c r="W31" i="23"/>
  <c r="Z70" i="23"/>
  <c r="Y70" i="23"/>
  <c r="V62" i="23"/>
  <c r="X19" i="23"/>
  <c r="AE57" i="23"/>
  <c r="AD26" i="23"/>
  <c r="C25" i="43"/>
  <c r="Q25" i="43"/>
  <c r="R25" i="43"/>
  <c r="R2" i="43"/>
  <c r="V67" i="23"/>
  <c r="V69" i="23"/>
  <c r="Z67" i="23"/>
  <c r="Z69" i="23"/>
  <c r="Y28" i="23"/>
  <c r="W29" i="23"/>
  <c r="AC29" i="23"/>
  <c r="Z31" i="23"/>
  <c r="X70" i="23"/>
  <c r="AE62" i="23"/>
  <c r="W57" i="23"/>
  <c r="AE26" i="23"/>
  <c r="Z28" i="23"/>
  <c r="AB29" i="23"/>
  <c r="AE29" i="23"/>
  <c r="AE70" i="23"/>
  <c r="W70" i="23"/>
  <c r="AB62" i="23"/>
  <c r="AA62" i="23"/>
  <c r="AC57" i="23"/>
  <c r="Y57" i="23"/>
  <c r="AE67" i="23"/>
  <c r="AE69" i="23"/>
  <c r="V29" i="23"/>
  <c r="AE31" i="23"/>
  <c r="AC70" i="23"/>
  <c r="Z62" i="23"/>
  <c r="Y19" i="23"/>
  <c r="AF57" i="23"/>
  <c r="T7" i="27"/>
  <c r="T13" i="27"/>
  <c r="T8" i="27"/>
  <c r="AG64" i="23"/>
  <c r="X67" i="23"/>
  <c r="X69" i="23"/>
  <c r="AD28" i="23"/>
  <c r="AD29" i="23"/>
  <c r="AC31" i="23"/>
  <c r="AD70" i="23"/>
  <c r="AF62" i="23"/>
  <c r="V26" i="23"/>
  <c r="AA48" i="23"/>
  <c r="Q4" i="43"/>
  <c r="AB67" i="23"/>
  <c r="AB69" i="23"/>
  <c r="AB28" i="23"/>
  <c r="AB31" i="23"/>
  <c r="AD31" i="23"/>
  <c r="AA70" i="23"/>
  <c r="W62" i="23"/>
  <c r="Z19" i="23"/>
  <c r="AA57" i="23"/>
  <c r="Y67" i="23"/>
  <c r="Y69" i="23"/>
  <c r="AA28" i="23"/>
  <c r="X29" i="23"/>
  <c r="AC48" i="23"/>
  <c r="AF19" i="23"/>
  <c r="AA19" i="23"/>
  <c r="X26" i="23"/>
  <c r="Z26" i="23"/>
  <c r="AC28" i="23"/>
  <c r="AE28" i="23"/>
  <c r="AF31" i="23"/>
  <c r="X31" i="23"/>
  <c r="AF70" i="23"/>
  <c r="AC62" i="23"/>
  <c r="AD62" i="23"/>
  <c r="W14" i="23"/>
  <c r="AD23" i="23"/>
  <c r="V60" i="23"/>
  <c r="AD44" i="23"/>
  <c r="K9" i="26"/>
  <c r="K22" i="49"/>
  <c r="K46" i="49"/>
  <c r="K21" i="26"/>
  <c r="K45" i="26"/>
  <c r="Y65" i="23"/>
  <c r="W23" i="23"/>
  <c r="Y60" i="23"/>
  <c r="C57" i="26"/>
  <c r="S33" i="26"/>
  <c r="AD60" i="23"/>
  <c r="V14" i="23"/>
  <c r="AD14" i="23"/>
  <c r="AF60" i="23"/>
  <c r="AD65" i="23"/>
  <c r="AB23" i="23"/>
  <c r="AE23" i="23"/>
  <c r="AG12" i="23"/>
  <c r="C58" i="49"/>
  <c r="S34" i="49"/>
  <c r="X14" i="23"/>
  <c r="AG52" i="23"/>
  <c r="Y23" i="23"/>
  <c r="AG53" i="23"/>
  <c r="X60" i="23"/>
  <c r="V65" i="23"/>
  <c r="X65" i="23"/>
  <c r="Y14" i="23"/>
  <c r="AG48" i="23"/>
  <c r="E45" i="31"/>
  <c r="AB60" i="23"/>
  <c r="R32" i="27"/>
  <c r="S20" i="27"/>
  <c r="R18" i="27"/>
  <c r="AE65" i="23"/>
  <c r="AC23" i="23"/>
  <c r="AE14" i="23"/>
  <c r="AC14" i="23"/>
  <c r="AA14" i="23"/>
  <c r="AB14" i="23"/>
  <c r="P21" i="26"/>
  <c r="P45" i="26"/>
  <c r="P10" i="49"/>
  <c r="P9" i="26"/>
  <c r="P22" i="49"/>
  <c r="P46" i="49"/>
  <c r="W60" i="23"/>
  <c r="AG16" i="23"/>
  <c r="R32" i="53"/>
  <c r="R30" i="53"/>
  <c r="R18" i="53"/>
  <c r="S20" i="53"/>
  <c r="AG55" i="23"/>
  <c r="AA23" i="23"/>
  <c r="Z65" i="23"/>
  <c r="W65" i="23"/>
  <c r="AF23" i="23"/>
  <c r="S32" i="53"/>
  <c r="Z14" i="23"/>
  <c r="AC60" i="23"/>
  <c r="AC65" i="23"/>
  <c r="AG45" i="23"/>
  <c r="S30" i="53"/>
  <c r="AA60" i="23"/>
  <c r="AF65" i="23"/>
  <c r="G22" i="49"/>
  <c r="G46" i="49"/>
  <c r="G21" i="26"/>
  <c r="G45" i="26"/>
  <c r="G9" i="26"/>
  <c r="Z44" i="23"/>
  <c r="G10" i="49"/>
  <c r="AB65" i="23"/>
  <c r="AA65" i="23"/>
  <c r="Z60" i="23"/>
  <c r="R34" i="27"/>
  <c r="S22" i="27"/>
  <c r="V23" i="23"/>
  <c r="X23" i="23"/>
  <c r="AF14" i="23"/>
  <c r="AG61" i="23"/>
  <c r="R34" i="53"/>
  <c r="S22" i="53"/>
  <c r="Z23" i="23"/>
  <c r="AE60" i="23"/>
  <c r="D32" i="49"/>
  <c r="D56" i="49"/>
  <c r="D34" i="26"/>
  <c r="D58" i="26"/>
  <c r="Q32" i="49"/>
  <c r="Q56" i="49"/>
  <c r="Q34" i="26"/>
  <c r="Q58" i="26"/>
  <c r="Y17" i="23"/>
  <c r="X32" i="23"/>
  <c r="AA32" i="23"/>
  <c r="AC24" i="23"/>
  <c r="R32" i="49"/>
  <c r="R56" i="49"/>
  <c r="R34" i="26"/>
  <c r="R58" i="26"/>
  <c r="AF80" i="23"/>
  <c r="Y56" i="23"/>
  <c r="W32" i="23"/>
  <c r="AE30" i="23"/>
  <c r="AE18" i="23"/>
  <c r="X18" i="23"/>
  <c r="AA24" i="23"/>
  <c r="AG28" i="23"/>
  <c r="P32" i="49"/>
  <c r="P56" i="49"/>
  <c r="P34" i="26"/>
  <c r="P58" i="26"/>
  <c r="K34" i="26"/>
  <c r="K58" i="26"/>
  <c r="K32" i="49"/>
  <c r="K56" i="49"/>
  <c r="AD80" i="23"/>
  <c r="Y80" i="23"/>
  <c r="AA17" i="23"/>
  <c r="AC32" i="23"/>
  <c r="AG69" i="23"/>
  <c r="AG62" i="23"/>
  <c r="Y24" i="23"/>
  <c r="I34" i="26"/>
  <c r="I58" i="26"/>
  <c r="I32" i="49"/>
  <c r="V80" i="23"/>
  <c r="AG29" i="23"/>
  <c r="AC56" i="23"/>
  <c r="AE32" i="23"/>
  <c r="AD32" i="23"/>
  <c r="W18" i="23"/>
  <c r="AB18" i="23"/>
  <c r="V56" i="23"/>
  <c r="X56" i="23"/>
  <c r="K10" i="49"/>
  <c r="H34" i="26"/>
  <c r="H58" i="26"/>
  <c r="H32" i="49"/>
  <c r="H56" i="49"/>
  <c r="N34" i="26"/>
  <c r="N58" i="26"/>
  <c r="N32" i="49"/>
  <c r="N56" i="49"/>
  <c r="Z80" i="23"/>
  <c r="AB80" i="23"/>
  <c r="AB17" i="23"/>
  <c r="AD30" i="23"/>
  <c r="AF30" i="23"/>
  <c r="AE56" i="23"/>
  <c r="Y18" i="23"/>
  <c r="J34" i="26"/>
  <c r="J58" i="26"/>
  <c r="J32" i="49"/>
  <c r="J56" i="49"/>
  <c r="L34" i="26"/>
  <c r="L58" i="26"/>
  <c r="L32" i="49"/>
  <c r="L56" i="49"/>
  <c r="H15" i="44"/>
  <c r="X80" i="23"/>
  <c r="AD17" i="23"/>
  <c r="V32" i="23"/>
  <c r="AA30" i="23"/>
  <c r="V30" i="23"/>
  <c r="AF18" i="23"/>
  <c r="X24" i="23"/>
  <c r="AB56" i="23"/>
  <c r="AD56" i="23"/>
  <c r="O34" i="26"/>
  <c r="O58" i="26"/>
  <c r="O32" i="49"/>
  <c r="O56" i="49"/>
  <c r="V17" i="23"/>
  <c r="AG17" i="23"/>
  <c r="Z17" i="23"/>
  <c r="W56" i="23"/>
  <c r="AB30" i="23"/>
  <c r="AC18" i="23"/>
  <c r="V24" i="23"/>
  <c r="AF24" i="23"/>
  <c r="M32" i="49"/>
  <c r="M56" i="49"/>
  <c r="M34" i="26"/>
  <c r="M58" i="26"/>
  <c r="C34" i="26"/>
  <c r="C32" i="49"/>
  <c r="C56" i="49"/>
  <c r="AA56" i="23"/>
  <c r="AA80" i="23"/>
  <c r="W17" i="23"/>
  <c r="AB32" i="23"/>
  <c r="Z30" i="23"/>
  <c r="AG31" i="23"/>
  <c r="AB24" i="23"/>
  <c r="W24" i="23"/>
  <c r="AF17" i="23"/>
  <c r="X30" i="23"/>
  <c r="AA18" i="23"/>
  <c r="AG26" i="23"/>
  <c r="AE17" i="23"/>
  <c r="Y32" i="23"/>
  <c r="Z32" i="23"/>
  <c r="W30" i="23"/>
  <c r="Z56" i="23"/>
  <c r="AD24" i="23"/>
  <c r="G34" i="26"/>
  <c r="G58" i="26"/>
  <c r="G32" i="49"/>
  <c r="G56" i="49"/>
  <c r="W80" i="23"/>
  <c r="AC80" i="23"/>
  <c r="AF56" i="23"/>
  <c r="X17" i="23"/>
  <c r="AC17" i="23"/>
  <c r="AF32" i="23"/>
  <c r="Y30" i="23"/>
  <c r="V18" i="23"/>
  <c r="AG18" i="23"/>
  <c r="AG67" i="23"/>
  <c r="F32" i="49"/>
  <c r="F56" i="49"/>
  <c r="F34" i="26"/>
  <c r="F58" i="26"/>
  <c r="E32" i="49"/>
  <c r="E56" i="49"/>
  <c r="E34" i="26"/>
  <c r="E58" i="26"/>
  <c r="AE80" i="23"/>
  <c r="AC30" i="23"/>
  <c r="C2" i="43"/>
  <c r="Q2" i="43"/>
  <c r="Z18" i="23"/>
  <c r="AD18" i="23"/>
  <c r="AG70" i="23"/>
  <c r="AE24" i="23"/>
  <c r="Z24" i="23"/>
  <c r="AD11" i="23"/>
  <c r="AA35" i="23"/>
  <c r="AA25" i="23"/>
  <c r="AC25" i="23"/>
  <c r="Z11" i="23"/>
  <c r="V11" i="23"/>
  <c r="Y44" i="23"/>
  <c r="F22" i="49"/>
  <c r="F46" i="49"/>
  <c r="F21" i="26"/>
  <c r="F45" i="26"/>
  <c r="F10" i="49"/>
  <c r="F9" i="26"/>
  <c r="AE25" i="23"/>
  <c r="V25" i="23"/>
  <c r="AG14" i="23"/>
  <c r="AG23" i="23"/>
  <c r="AC35" i="23"/>
  <c r="AE35" i="23"/>
  <c r="X11" i="23"/>
  <c r="Z35" i="23"/>
  <c r="X35" i="23"/>
  <c r="T32" i="53"/>
  <c r="V35" i="23"/>
  <c r="Y11" i="23"/>
  <c r="S34" i="27"/>
  <c r="Z25" i="23"/>
  <c r="AA11" i="23"/>
  <c r="H40" i="23"/>
  <c r="Y35" i="23"/>
  <c r="W25" i="23"/>
  <c r="W11" i="23"/>
  <c r="AG65" i="23"/>
  <c r="AB35" i="23"/>
  <c r="AF11" i="23"/>
  <c r="S57" i="26"/>
  <c r="S34" i="53"/>
  <c r="W35" i="23"/>
  <c r="AD35" i="23"/>
  <c r="AF25" i="23"/>
  <c r="AD25" i="23"/>
  <c r="AB11" i="23"/>
  <c r="AC11" i="23"/>
  <c r="AG60" i="23"/>
  <c r="S18" i="53"/>
  <c r="T20" i="53"/>
  <c r="AB25" i="23"/>
  <c r="S18" i="27"/>
  <c r="T20" i="27"/>
  <c r="AF35" i="23"/>
  <c r="X25" i="23"/>
  <c r="T31" i="53"/>
  <c r="V44" i="23"/>
  <c r="C22" i="49"/>
  <c r="C10" i="49"/>
  <c r="C9" i="26"/>
  <c r="C21" i="26"/>
  <c r="M22" i="49"/>
  <c r="M46" i="49"/>
  <c r="AF44" i="23"/>
  <c r="M9" i="26"/>
  <c r="M10" i="49"/>
  <c r="M21" i="26"/>
  <c r="M45" i="26"/>
  <c r="Y25" i="23"/>
  <c r="R30" i="27"/>
  <c r="S32" i="27"/>
  <c r="AE11" i="23"/>
  <c r="S58" i="49"/>
  <c r="AC76" i="23"/>
  <c r="X72" i="23"/>
  <c r="AG32" i="23"/>
  <c r="AC36" i="23"/>
  <c r="Z21" i="23"/>
  <c r="Y72" i="23"/>
  <c r="E21" i="26"/>
  <c r="E45" i="26"/>
  <c r="E10" i="49"/>
  <c r="E22" i="49"/>
  <c r="E46" i="49"/>
  <c r="E9" i="26"/>
  <c r="X44" i="23"/>
  <c r="V76" i="23"/>
  <c r="AE66" i="23"/>
  <c r="X36" i="23"/>
  <c r="AF76" i="23"/>
  <c r="AE21" i="23"/>
  <c r="W76" i="23"/>
  <c r="AC72" i="23"/>
  <c r="AB72" i="23"/>
  <c r="AA36" i="23"/>
  <c r="AD72" i="23"/>
  <c r="C58" i="26"/>
  <c r="S34" i="26"/>
  <c r="S58" i="26"/>
  <c r="AG80" i="23"/>
  <c r="S32" i="49"/>
  <c r="S56" i="49"/>
  <c r="I56" i="49"/>
  <c r="Z66" i="23"/>
  <c r="W36" i="23"/>
  <c r="AB21" i="23"/>
  <c r="AE72" i="23"/>
  <c r="V72" i="23"/>
  <c r="AG24" i="23"/>
  <c r="Y76" i="23"/>
  <c r="AD66" i="23"/>
  <c r="X21" i="23"/>
  <c r="AA44" i="23"/>
  <c r="H22" i="49"/>
  <c r="H46" i="49"/>
  <c r="H10" i="49"/>
  <c r="H21" i="26"/>
  <c r="H45" i="26"/>
  <c r="H9" i="26"/>
  <c r="W44" i="23"/>
  <c r="D22" i="49"/>
  <c r="D46" i="49"/>
  <c r="D10" i="49"/>
  <c r="D9" i="26"/>
  <c r="D21" i="26"/>
  <c r="D45" i="26"/>
  <c r="AG30" i="23"/>
  <c r="AA66" i="23"/>
  <c r="AF66" i="23"/>
  <c r="Y36" i="23"/>
  <c r="AE76" i="23"/>
  <c r="AA21" i="23"/>
  <c r="V21" i="23"/>
  <c r="W72" i="23"/>
  <c r="AB76" i="23"/>
  <c r="Y66" i="23"/>
  <c r="V66" i="23"/>
  <c r="V36" i="23"/>
  <c r="W21" i="23"/>
  <c r="AF21" i="23"/>
  <c r="AA76" i="23"/>
  <c r="AD76" i="23"/>
  <c r="W66" i="23"/>
  <c r="AC66" i="23"/>
  <c r="AE36" i="23"/>
  <c r="AA72" i="23"/>
  <c r="X76" i="23"/>
  <c r="Y21" i="23"/>
  <c r="Z76" i="23"/>
  <c r="AG56" i="23"/>
  <c r="X66" i="23"/>
  <c r="AF36" i="23"/>
  <c r="AC21" i="23"/>
  <c r="AF72" i="23"/>
  <c r="J10" i="49"/>
  <c r="J21" i="26"/>
  <c r="J45" i="26"/>
  <c r="J9" i="26"/>
  <c r="AC44" i="23"/>
  <c r="AB44" i="23"/>
  <c r="AE44" i="23"/>
  <c r="AG44" i="23"/>
  <c r="J22" i="49"/>
  <c r="J46" i="49"/>
  <c r="AD36" i="23"/>
  <c r="AD21" i="23"/>
  <c r="Z72" i="23"/>
  <c r="I10" i="49"/>
  <c r="L10" i="49"/>
  <c r="S10" i="49"/>
  <c r="I22" i="49"/>
  <c r="I46" i="49"/>
  <c r="I9" i="26"/>
  <c r="L9" i="26"/>
  <c r="S9" i="26"/>
  <c r="I21" i="26"/>
  <c r="I45" i="26"/>
  <c r="L22" i="49"/>
  <c r="L46" i="49"/>
  <c r="L21" i="26"/>
  <c r="L45" i="26"/>
  <c r="AB66" i="23"/>
  <c r="Z36" i="23"/>
  <c r="AB36" i="23"/>
  <c r="AG25" i="23"/>
  <c r="C46" i="49"/>
  <c r="S22" i="49"/>
  <c r="AG11" i="23"/>
  <c r="T19" i="27"/>
  <c r="T19" i="53"/>
  <c r="AG35" i="23"/>
  <c r="H34" i="23"/>
  <c r="H22" i="23"/>
  <c r="S30" i="27"/>
  <c r="S21" i="26"/>
  <c r="C45" i="26"/>
  <c r="AA71" i="23"/>
  <c r="W63" i="23"/>
  <c r="AG21" i="23"/>
  <c r="N20" i="49"/>
  <c r="N44" i="49"/>
  <c r="N8" i="49"/>
  <c r="N10" i="26"/>
  <c r="N22" i="26"/>
  <c r="N46" i="26"/>
  <c r="AG36" i="23"/>
  <c r="W71" i="23"/>
  <c r="Z71" i="23"/>
  <c r="R8" i="49"/>
  <c r="R22" i="26"/>
  <c r="R46" i="26"/>
  <c r="R10" i="26"/>
  <c r="R20" i="49"/>
  <c r="R44" i="49"/>
  <c r="AA63" i="23"/>
  <c r="AC71" i="23"/>
  <c r="V63" i="23"/>
  <c r="V71" i="23"/>
  <c r="Z63" i="23"/>
  <c r="AF71" i="23"/>
  <c r="AG66" i="23"/>
  <c r="AG72" i="23"/>
  <c r="Q20" i="49"/>
  <c r="Q44" i="49"/>
  <c r="Q10" i="26"/>
  <c r="Q22" i="26"/>
  <c r="Q46" i="26"/>
  <c r="Q8" i="49"/>
  <c r="AG76" i="23"/>
  <c r="X71" i="23"/>
  <c r="X63" i="23"/>
  <c r="Y63" i="23"/>
  <c r="AE71" i="23"/>
  <c r="AB63" i="23"/>
  <c r="P20" i="49"/>
  <c r="P44" i="49"/>
  <c r="P8" i="49"/>
  <c r="P22" i="26"/>
  <c r="P46" i="26"/>
  <c r="P10" i="26"/>
  <c r="AC63" i="23"/>
  <c r="AE63" i="23"/>
  <c r="O8" i="49"/>
  <c r="O22" i="26"/>
  <c r="O46" i="26"/>
  <c r="O10" i="26"/>
  <c r="O20" i="49"/>
  <c r="O44" i="49"/>
  <c r="AF63" i="23"/>
  <c r="AD63" i="23"/>
  <c r="AD71" i="23"/>
  <c r="AB71" i="23"/>
  <c r="Y71" i="23"/>
  <c r="H13" i="23"/>
  <c r="H9" i="23"/>
  <c r="F34" i="23"/>
  <c r="F30" i="23"/>
  <c r="F28" i="23"/>
  <c r="F23" i="23"/>
  <c r="F26" i="23"/>
  <c r="F25" i="23"/>
  <c r="F32" i="23"/>
  <c r="F27" i="23"/>
  <c r="F24" i="23"/>
  <c r="F29" i="23"/>
  <c r="F31" i="23"/>
  <c r="F38" i="23"/>
  <c r="F42" i="23"/>
  <c r="F36" i="23"/>
  <c r="F43" i="23"/>
  <c r="F37" i="23"/>
  <c r="F41" i="23"/>
  <c r="F35" i="23"/>
  <c r="T31" i="27"/>
  <c r="T32" i="27"/>
  <c r="S46" i="49"/>
  <c r="X22" i="49"/>
  <c r="S45" i="26"/>
  <c r="F40" i="23"/>
  <c r="AG71" i="23"/>
  <c r="V59" i="23"/>
  <c r="C20" i="49"/>
  <c r="C22" i="26"/>
  <c r="C8" i="49"/>
  <c r="C10" i="26"/>
  <c r="M22" i="26"/>
  <c r="M46" i="26"/>
  <c r="AF59" i="23"/>
  <c r="M10" i="26"/>
  <c r="M20" i="49"/>
  <c r="M44" i="49"/>
  <c r="M8" i="49"/>
  <c r="J22" i="26"/>
  <c r="J46" i="26"/>
  <c r="J10" i="26"/>
  <c r="J8" i="49"/>
  <c r="AC59" i="23"/>
  <c r="J20" i="49"/>
  <c r="J44" i="49"/>
  <c r="AG63" i="23"/>
  <c r="H20" i="49"/>
  <c r="H44" i="49"/>
  <c r="H8" i="49"/>
  <c r="H10" i="26"/>
  <c r="H22" i="26"/>
  <c r="H46" i="26"/>
  <c r="AA59" i="23"/>
  <c r="F10" i="26"/>
  <c r="Y59" i="23"/>
  <c r="F20" i="49"/>
  <c r="F44" i="49"/>
  <c r="F8" i="49"/>
  <c r="F22" i="26"/>
  <c r="F46" i="26"/>
  <c r="W59" i="23"/>
  <c r="D10" i="26"/>
  <c r="D22" i="26"/>
  <c r="D46" i="26"/>
  <c r="D8" i="49"/>
  <c r="D20" i="49"/>
  <c r="D44" i="49"/>
  <c r="L10" i="26"/>
  <c r="L22" i="26"/>
  <c r="L46" i="26"/>
  <c r="AE59" i="23"/>
  <c r="L8" i="49"/>
  <c r="L20" i="49"/>
  <c r="L44" i="49"/>
  <c r="K20" i="49"/>
  <c r="K44" i="49"/>
  <c r="K8" i="49"/>
  <c r="K10" i="26"/>
  <c r="K22" i="26"/>
  <c r="K46" i="26"/>
  <c r="AD59" i="23"/>
  <c r="G10" i="26"/>
  <c r="G22" i="26"/>
  <c r="G46" i="26"/>
  <c r="G8" i="49"/>
  <c r="Z59" i="23"/>
  <c r="G20" i="49"/>
  <c r="G44" i="49"/>
  <c r="AB59" i="23"/>
  <c r="I20" i="49"/>
  <c r="I44" i="49"/>
  <c r="I8" i="49"/>
  <c r="I10" i="26"/>
  <c r="I22" i="26"/>
  <c r="I46" i="26"/>
  <c r="E22" i="26"/>
  <c r="E46" i="26"/>
  <c r="E10" i="26"/>
  <c r="E20" i="49"/>
  <c r="E44" i="49"/>
  <c r="X59" i="23"/>
  <c r="E8" i="49"/>
  <c r="AE40" i="23"/>
  <c r="AC40" i="23"/>
  <c r="AA40" i="23"/>
  <c r="V40" i="23"/>
  <c r="Y40" i="23"/>
  <c r="W40" i="23"/>
  <c r="AB40" i="23"/>
  <c r="AD40" i="23"/>
  <c r="F11" i="23"/>
  <c r="F16" i="23"/>
  <c r="F13" i="23"/>
  <c r="F20" i="23"/>
  <c r="F15" i="23"/>
  <c r="F14" i="23"/>
  <c r="F17" i="23"/>
  <c r="F21" i="23"/>
  <c r="F18" i="23"/>
  <c r="F12" i="23"/>
  <c r="F19" i="23"/>
  <c r="F10" i="23"/>
  <c r="H8" i="23"/>
  <c r="AF40" i="23"/>
  <c r="Z40" i="23"/>
  <c r="X40" i="23"/>
  <c r="S8" i="49"/>
  <c r="S22" i="26"/>
  <c r="S46" i="26"/>
  <c r="C46" i="26"/>
  <c r="S20" i="49"/>
  <c r="S44" i="49"/>
  <c r="C44" i="49"/>
  <c r="AG59" i="23"/>
  <c r="S10" i="26"/>
  <c r="R20" i="26"/>
  <c r="R21" i="49"/>
  <c r="Z13" i="23"/>
  <c r="O21" i="49"/>
  <c r="O20" i="26"/>
  <c r="AD34" i="23"/>
  <c r="AE34" i="23"/>
  <c r="AC13" i="23"/>
  <c r="Y13" i="23"/>
  <c r="O8" i="26"/>
  <c r="R9" i="49"/>
  <c r="AB34" i="23"/>
  <c r="AC34" i="23"/>
  <c r="AE13" i="23"/>
  <c r="AB13" i="23"/>
  <c r="AF13" i="23"/>
  <c r="Y34" i="23"/>
  <c r="N21" i="49"/>
  <c r="N9" i="49"/>
  <c r="N20" i="26"/>
  <c r="N8" i="26"/>
  <c r="P9" i="49"/>
  <c r="P21" i="49"/>
  <c r="P8" i="26"/>
  <c r="P20" i="26"/>
  <c r="X13" i="23"/>
  <c r="AD13" i="23"/>
  <c r="AG40" i="23"/>
  <c r="AF34" i="23"/>
  <c r="W13" i="23"/>
  <c r="V34" i="23"/>
  <c r="F22" i="23"/>
  <c r="Z34" i="23"/>
  <c r="Q9" i="49"/>
  <c r="Q8" i="26"/>
  <c r="Q20" i="26"/>
  <c r="Q21" i="49"/>
  <c r="F9" i="23"/>
  <c r="X34" i="23"/>
  <c r="AA13" i="23"/>
  <c r="AA34" i="23"/>
  <c r="V13" i="23"/>
  <c r="AG13" i="23"/>
  <c r="W34" i="23"/>
  <c r="AG34" i="23"/>
  <c r="N45" i="49"/>
  <c r="I33" i="49"/>
  <c r="I32" i="26"/>
  <c r="L32" i="26"/>
  <c r="L33" i="49"/>
  <c r="R45" i="49"/>
  <c r="O32" i="26"/>
  <c r="O33" i="49"/>
  <c r="AC9" i="23"/>
  <c r="O45" i="49"/>
  <c r="R44" i="26"/>
  <c r="AD9" i="23"/>
  <c r="X9" i="23"/>
  <c r="C33" i="49"/>
  <c r="C32" i="26"/>
  <c r="R8" i="26"/>
  <c r="X22" i="23"/>
  <c r="W9" i="23"/>
  <c r="H82" i="23"/>
  <c r="P33" i="49"/>
  <c r="P32" i="26"/>
  <c r="P44" i="26"/>
  <c r="G33" i="49"/>
  <c r="G32" i="26"/>
  <c r="AA9" i="23"/>
  <c r="N33" i="49"/>
  <c r="N32" i="26"/>
  <c r="J33" i="49"/>
  <c r="J32" i="26"/>
  <c r="V22" i="23"/>
  <c r="AF22" i="23"/>
  <c r="P45" i="49"/>
  <c r="F32" i="26"/>
  <c r="F33" i="49"/>
  <c r="AB9" i="23"/>
  <c r="AC22" i="23"/>
  <c r="K32" i="26"/>
  <c r="K33" i="49"/>
  <c r="AA22" i="23"/>
  <c r="E33" i="49"/>
  <c r="E32" i="26"/>
  <c r="AE22" i="23"/>
  <c r="Q45" i="49"/>
  <c r="Y22" i="23"/>
  <c r="AE9" i="23"/>
  <c r="E46" i="31"/>
  <c r="M32" i="26"/>
  <c r="M33" i="49"/>
  <c r="Z9" i="23"/>
  <c r="W22" i="23"/>
  <c r="V9" i="23"/>
  <c r="Q44" i="26"/>
  <c r="Z22" i="23"/>
  <c r="N44" i="26"/>
  <c r="AF9" i="23"/>
  <c r="AB22" i="23"/>
  <c r="H33" i="49"/>
  <c r="H32" i="26"/>
  <c r="Q33" i="49"/>
  <c r="Q32" i="26"/>
  <c r="O9" i="49"/>
  <c r="R32" i="26"/>
  <c r="R33" i="49"/>
  <c r="D32" i="26"/>
  <c r="D33" i="49"/>
  <c r="Y9" i="23"/>
  <c r="AD22" i="23"/>
  <c r="O44" i="26"/>
  <c r="D57" i="49"/>
  <c r="E56" i="26"/>
  <c r="H8" i="26"/>
  <c r="H21" i="49"/>
  <c r="H9" i="49"/>
  <c r="H20" i="26"/>
  <c r="AA8" i="23"/>
  <c r="G57" i="49"/>
  <c r="C57" i="49"/>
  <c r="S33" i="49"/>
  <c r="M57" i="49"/>
  <c r="L20" i="26"/>
  <c r="AE8" i="23"/>
  <c r="L21" i="49"/>
  <c r="L9" i="49"/>
  <c r="L8" i="26"/>
  <c r="E57" i="49"/>
  <c r="O57" i="49"/>
  <c r="M21" i="49"/>
  <c r="M9" i="49"/>
  <c r="M20" i="26"/>
  <c r="AF8" i="23"/>
  <c r="M8" i="26"/>
  <c r="H84" i="23"/>
  <c r="F82" i="23"/>
  <c r="O56" i="26"/>
  <c r="D56" i="26"/>
  <c r="M56" i="26"/>
  <c r="R57" i="49"/>
  <c r="R56" i="26"/>
  <c r="E49" i="31"/>
  <c r="G8" i="26"/>
  <c r="G21" i="49"/>
  <c r="G9" i="49"/>
  <c r="G20" i="26"/>
  <c r="Z8" i="23"/>
  <c r="J56" i="26"/>
  <c r="H56" i="26"/>
  <c r="AG9" i="23"/>
  <c r="H57" i="49"/>
  <c r="C9" i="49"/>
  <c r="C8" i="26"/>
  <c r="C20" i="26"/>
  <c r="V8" i="23"/>
  <c r="C21" i="49"/>
  <c r="I7" i="51"/>
  <c r="I30" i="51"/>
  <c r="I7" i="28"/>
  <c r="I30" i="28"/>
  <c r="I7" i="52"/>
  <c r="I30" i="52"/>
  <c r="K57" i="49"/>
  <c r="J57" i="49"/>
  <c r="E8" i="26"/>
  <c r="E9" i="49"/>
  <c r="E20" i="26"/>
  <c r="X8" i="23"/>
  <c r="E21" i="49"/>
  <c r="K56" i="26"/>
  <c r="F57" i="49"/>
  <c r="K20" i="26"/>
  <c r="AD8" i="23"/>
  <c r="K21" i="49"/>
  <c r="K8" i="26"/>
  <c r="K9" i="49"/>
  <c r="L57" i="49"/>
  <c r="F56" i="26"/>
  <c r="N56" i="26"/>
  <c r="L56" i="26"/>
  <c r="AG22" i="23"/>
  <c r="N57" i="49"/>
  <c r="P56" i="26"/>
  <c r="D21" i="49"/>
  <c r="D9" i="49"/>
  <c r="D20" i="26"/>
  <c r="W8" i="23"/>
  <c r="D8" i="26"/>
  <c r="F21" i="49"/>
  <c r="F8" i="26"/>
  <c r="F9" i="49"/>
  <c r="F20" i="26"/>
  <c r="Y8" i="23"/>
  <c r="Q56" i="26"/>
  <c r="E52" i="31"/>
  <c r="P57" i="49"/>
  <c r="J8" i="26"/>
  <c r="J9" i="49"/>
  <c r="J20" i="26"/>
  <c r="J21" i="49"/>
  <c r="AC8" i="23"/>
  <c r="I56" i="26"/>
  <c r="Q57" i="49"/>
  <c r="I20" i="26"/>
  <c r="AB8" i="23"/>
  <c r="I21" i="49"/>
  <c r="I9" i="49"/>
  <c r="I8" i="26"/>
  <c r="G56" i="26"/>
  <c r="C56" i="26"/>
  <c r="S32" i="26"/>
  <c r="I57" i="49"/>
  <c r="J49" i="53"/>
  <c r="J48" i="27"/>
  <c r="R49" i="53"/>
  <c r="R48" i="27"/>
  <c r="M49" i="53"/>
  <c r="M48" i="27"/>
  <c r="K48" i="27"/>
  <c r="K49" i="53"/>
  <c r="D48" i="27"/>
  <c r="D49" i="53"/>
  <c r="F48" i="27"/>
  <c r="F49" i="53"/>
  <c r="E49" i="53"/>
  <c r="E48" i="27"/>
  <c r="I48" i="27"/>
  <c r="I49" i="53"/>
  <c r="P49" i="53"/>
  <c r="P48" i="27"/>
  <c r="H48" i="27"/>
  <c r="H49" i="53"/>
  <c r="N49" i="53"/>
  <c r="N48" i="27"/>
  <c r="Q49" i="53"/>
  <c r="Q48" i="27"/>
  <c r="C49" i="53"/>
  <c r="C48" i="27"/>
  <c r="L49" i="53"/>
  <c r="L48" i="27"/>
  <c r="G49" i="53"/>
  <c r="G48" i="27"/>
  <c r="O48" i="27"/>
  <c r="O49" i="53"/>
  <c r="K45" i="49"/>
  <c r="F44" i="26"/>
  <c r="C44" i="26"/>
  <c r="S20" i="26"/>
  <c r="E45" i="49"/>
  <c r="G45" i="49"/>
  <c r="K44" i="26"/>
  <c r="S8" i="26"/>
  <c r="E44" i="26"/>
  <c r="S9" i="49"/>
  <c r="I6" i="28"/>
  <c r="I29" i="28"/>
  <c r="I6" i="51"/>
  <c r="I29" i="51"/>
  <c r="I6" i="52"/>
  <c r="I29" i="52"/>
  <c r="S56" i="26"/>
  <c r="I45" i="49"/>
  <c r="J45" i="49"/>
  <c r="M44" i="26"/>
  <c r="F45" i="49"/>
  <c r="I44" i="26"/>
  <c r="D44" i="26"/>
  <c r="H44" i="26"/>
  <c r="J44" i="26"/>
  <c r="F81" i="23"/>
  <c r="F44" i="23"/>
  <c r="F59" i="23"/>
  <c r="F8" i="23"/>
  <c r="L45" i="49"/>
  <c r="M45" i="49"/>
  <c r="L44" i="26"/>
  <c r="H45" i="49"/>
  <c r="D45" i="49"/>
  <c r="S21" i="49"/>
  <c r="C45" i="49"/>
  <c r="G44" i="26"/>
  <c r="S57" i="49"/>
  <c r="AG8" i="23"/>
  <c r="F84" i="23"/>
  <c r="J36" i="26"/>
  <c r="J36" i="49"/>
  <c r="N24" i="26"/>
  <c r="N12" i="26"/>
  <c r="N14" i="26"/>
  <c r="N12" i="49"/>
  <c r="N14" i="49"/>
  <c r="N24" i="49"/>
  <c r="F36" i="26"/>
  <c r="F36" i="49"/>
  <c r="D36" i="26"/>
  <c r="D36" i="49"/>
  <c r="F12" i="26"/>
  <c r="F14" i="26"/>
  <c r="Y82" i="23"/>
  <c r="F12" i="49"/>
  <c r="F14" i="49"/>
  <c r="F24" i="26"/>
  <c r="F24" i="49"/>
  <c r="R24" i="26"/>
  <c r="R12" i="26"/>
  <c r="R14" i="26"/>
  <c r="R24" i="49"/>
  <c r="R12" i="49"/>
  <c r="R14" i="49"/>
  <c r="M36" i="49"/>
  <c r="M36" i="26"/>
  <c r="E36" i="26"/>
  <c r="E36" i="49"/>
  <c r="K36" i="26"/>
  <c r="K36" i="49"/>
  <c r="N36" i="26"/>
  <c r="N36" i="49"/>
  <c r="R36" i="49"/>
  <c r="R36" i="26"/>
  <c r="G24" i="26"/>
  <c r="G12" i="49"/>
  <c r="G14" i="49"/>
  <c r="G24" i="49"/>
  <c r="Z82" i="23"/>
  <c r="G12" i="26"/>
  <c r="G14" i="26"/>
  <c r="AD82" i="23"/>
  <c r="K12" i="26"/>
  <c r="K14" i="26"/>
  <c r="K24" i="26"/>
  <c r="K24" i="49"/>
  <c r="K12" i="49"/>
  <c r="K14" i="49"/>
  <c r="L36" i="26"/>
  <c r="L36" i="49"/>
  <c r="O24" i="26"/>
  <c r="O12" i="49"/>
  <c r="O14" i="49"/>
  <c r="O24" i="49"/>
  <c r="O12" i="26"/>
  <c r="O14" i="26"/>
  <c r="I24" i="26"/>
  <c r="AB82" i="23"/>
  <c r="I24" i="49"/>
  <c r="I12" i="49"/>
  <c r="I14" i="49"/>
  <c r="I12" i="26"/>
  <c r="I14" i="26"/>
  <c r="I8" i="51"/>
  <c r="I31" i="51"/>
  <c r="I8" i="28"/>
  <c r="I31" i="28"/>
  <c r="I8" i="52"/>
  <c r="I31" i="52"/>
  <c r="H12" i="49"/>
  <c r="H14" i="49"/>
  <c r="H24" i="26"/>
  <c r="H12" i="26"/>
  <c r="H14" i="26"/>
  <c r="AA82" i="23"/>
  <c r="H24" i="49"/>
  <c r="C24" i="26"/>
  <c r="C12" i="26"/>
  <c r="V82" i="23"/>
  <c r="C12" i="49"/>
  <c r="C24" i="49"/>
  <c r="S48" i="27"/>
  <c r="Q36" i="26"/>
  <c r="Q36" i="49"/>
  <c r="O36" i="49"/>
  <c r="O36" i="26"/>
  <c r="P24" i="49"/>
  <c r="P12" i="49"/>
  <c r="P14" i="49"/>
  <c r="P24" i="26"/>
  <c r="P12" i="26"/>
  <c r="P14" i="26"/>
  <c r="L24" i="26"/>
  <c r="L12" i="26"/>
  <c r="L14" i="26"/>
  <c r="L24" i="49"/>
  <c r="L12" i="49"/>
  <c r="L14" i="49"/>
  <c r="AE82" i="23"/>
  <c r="S49" i="53"/>
  <c r="G36" i="26"/>
  <c r="G36" i="49"/>
  <c r="AC82" i="23"/>
  <c r="J24" i="49"/>
  <c r="J24" i="26"/>
  <c r="J12" i="26"/>
  <c r="J14" i="26"/>
  <c r="J12" i="49"/>
  <c r="J14" i="49"/>
  <c r="I36" i="26"/>
  <c r="I36" i="49"/>
  <c r="AF82" i="23"/>
  <c r="M24" i="49"/>
  <c r="M12" i="49"/>
  <c r="M14" i="49"/>
  <c r="M12" i="26"/>
  <c r="M14" i="26"/>
  <c r="M24" i="26"/>
  <c r="D24" i="26"/>
  <c r="D24" i="49"/>
  <c r="D12" i="26"/>
  <c r="D14" i="26"/>
  <c r="D12" i="49"/>
  <c r="D14" i="49"/>
  <c r="W82" i="23"/>
  <c r="S44" i="26"/>
  <c r="S45" i="49"/>
  <c r="X21" i="49"/>
  <c r="Y21" i="49"/>
  <c r="P36" i="49"/>
  <c r="P36" i="26"/>
  <c r="C36" i="49"/>
  <c r="C36" i="26"/>
  <c r="H36" i="26"/>
  <c r="H36" i="49"/>
  <c r="X82" i="23"/>
  <c r="E12" i="26"/>
  <c r="E14" i="26"/>
  <c r="E24" i="49"/>
  <c r="E24" i="26"/>
  <c r="E12" i="49"/>
  <c r="E14" i="49"/>
  <c r="Q24" i="26"/>
  <c r="Q24" i="49"/>
  <c r="Q12" i="49"/>
  <c r="Q14" i="49"/>
  <c r="Q12" i="26"/>
  <c r="Q14" i="26"/>
  <c r="AG82" i="23"/>
  <c r="L48" i="26"/>
  <c r="L26" i="26"/>
  <c r="Q60" i="26"/>
  <c r="Q38" i="26"/>
  <c r="AB84" i="23"/>
  <c r="P15" i="13"/>
  <c r="E60" i="49"/>
  <c r="E38" i="49"/>
  <c r="E62" i="49"/>
  <c r="C48" i="26"/>
  <c r="S24" i="26"/>
  <c r="C26" i="26"/>
  <c r="T16" i="13"/>
  <c r="O15" i="13"/>
  <c r="AA84" i="23"/>
  <c r="I48" i="49"/>
  <c r="I26" i="49"/>
  <c r="I50" i="49"/>
  <c r="AD84" i="23"/>
  <c r="R15" i="13"/>
  <c r="N60" i="26"/>
  <c r="N38" i="26"/>
  <c r="M60" i="26"/>
  <c r="M38" i="26"/>
  <c r="M15" i="13"/>
  <c r="Y84" i="23"/>
  <c r="F60" i="26"/>
  <c r="F38" i="26"/>
  <c r="S36" i="49"/>
  <c r="C60" i="49"/>
  <c r="C38" i="49"/>
  <c r="C62" i="49"/>
  <c r="P48" i="26"/>
  <c r="P26" i="26"/>
  <c r="X15" i="13"/>
  <c r="P48" i="49"/>
  <c r="P26" i="49"/>
  <c r="P50" i="49"/>
  <c r="H48" i="49"/>
  <c r="H26" i="49"/>
  <c r="H50" i="49"/>
  <c r="G48" i="26"/>
  <c r="G26" i="26"/>
  <c r="R16" i="13"/>
  <c r="M60" i="49"/>
  <c r="M38" i="49"/>
  <c r="M62" i="49"/>
  <c r="F48" i="49"/>
  <c r="F26" i="49"/>
  <c r="F50" i="49"/>
  <c r="E48" i="26"/>
  <c r="E26" i="26"/>
  <c r="F48" i="26"/>
  <c r="F26" i="26"/>
  <c r="O16" i="13"/>
  <c r="O60" i="26"/>
  <c r="O38" i="26"/>
  <c r="V15" i="13"/>
  <c r="R60" i="26"/>
  <c r="R38" i="26"/>
  <c r="K60" i="26"/>
  <c r="K38" i="26"/>
  <c r="I48" i="26"/>
  <c r="I26" i="26"/>
  <c r="Y16" i="13"/>
  <c r="K60" i="49"/>
  <c r="K38" i="49"/>
  <c r="K62" i="49"/>
  <c r="Q48" i="49"/>
  <c r="Q26" i="49"/>
  <c r="Q50" i="49"/>
  <c r="H60" i="49"/>
  <c r="H38" i="49"/>
  <c r="H62" i="49"/>
  <c r="D48" i="26"/>
  <c r="D26" i="26"/>
  <c r="O60" i="49"/>
  <c r="O38" i="49"/>
  <c r="O62" i="49"/>
  <c r="H48" i="26"/>
  <c r="H26" i="26"/>
  <c r="K48" i="26"/>
  <c r="K26" i="26"/>
  <c r="R60" i="49"/>
  <c r="R38" i="49"/>
  <c r="R62" i="49"/>
  <c r="U15" i="13"/>
  <c r="Q16" i="13"/>
  <c r="S15" i="13"/>
  <c r="AE84" i="23"/>
  <c r="K48" i="49"/>
  <c r="K26" i="49"/>
  <c r="K50" i="49"/>
  <c r="H60" i="26"/>
  <c r="H38" i="26"/>
  <c r="J60" i="49"/>
  <c r="J38" i="49"/>
  <c r="J62" i="49"/>
  <c r="AF84" i="23"/>
  <c r="T15" i="13"/>
  <c r="T14" i="13"/>
  <c r="V84" i="23"/>
  <c r="J15" i="13"/>
  <c r="O48" i="49"/>
  <c r="O26" i="49"/>
  <c r="O50" i="49"/>
  <c r="S16" i="13"/>
  <c r="N48" i="49"/>
  <c r="N26" i="49"/>
  <c r="N50" i="49"/>
  <c r="L15" i="13"/>
  <c r="X84" i="23"/>
  <c r="J16" i="13"/>
  <c r="M48" i="26"/>
  <c r="M26" i="26"/>
  <c r="Q15" i="13"/>
  <c r="Q14" i="13"/>
  <c r="AC84" i="23"/>
  <c r="G60" i="49"/>
  <c r="G38" i="49"/>
  <c r="G62" i="49"/>
  <c r="L48" i="49"/>
  <c r="L26" i="49"/>
  <c r="L50" i="49"/>
  <c r="X16" i="13"/>
  <c r="C48" i="49"/>
  <c r="S24" i="49"/>
  <c r="C26" i="49"/>
  <c r="C50" i="49"/>
  <c r="L60" i="49"/>
  <c r="L38" i="49"/>
  <c r="L62" i="49"/>
  <c r="J60" i="26"/>
  <c r="J38" i="26"/>
  <c r="D48" i="49"/>
  <c r="D26" i="49"/>
  <c r="D50" i="49"/>
  <c r="V16" i="13"/>
  <c r="Q48" i="26"/>
  <c r="Q26" i="26"/>
  <c r="N16" i="13"/>
  <c r="C60" i="26"/>
  <c r="S36" i="26"/>
  <c r="C38" i="26"/>
  <c r="G60" i="26"/>
  <c r="G38" i="26"/>
  <c r="Q60" i="49"/>
  <c r="Q38" i="49"/>
  <c r="Q62" i="49"/>
  <c r="S12" i="49"/>
  <c r="C14" i="49"/>
  <c r="O48" i="26"/>
  <c r="O26" i="26"/>
  <c r="L60" i="26"/>
  <c r="L38" i="26"/>
  <c r="N15" i="13"/>
  <c r="Z84" i="23"/>
  <c r="L16" i="13"/>
  <c r="Y15" i="13"/>
  <c r="Y14" i="13"/>
  <c r="P16" i="13"/>
  <c r="K16" i="13"/>
  <c r="N48" i="26"/>
  <c r="N26" i="26"/>
  <c r="E48" i="49"/>
  <c r="E26" i="49"/>
  <c r="E50" i="49"/>
  <c r="P60" i="26"/>
  <c r="P38" i="26"/>
  <c r="I60" i="49"/>
  <c r="I38" i="49"/>
  <c r="I62" i="49"/>
  <c r="W15" i="13"/>
  <c r="E60" i="26"/>
  <c r="E38" i="26"/>
  <c r="R48" i="49"/>
  <c r="R26" i="49"/>
  <c r="R50" i="49"/>
  <c r="D60" i="49"/>
  <c r="D38" i="49"/>
  <c r="D62" i="49"/>
  <c r="J48" i="26"/>
  <c r="J26" i="26"/>
  <c r="P60" i="49"/>
  <c r="P38" i="49"/>
  <c r="P62" i="49"/>
  <c r="W84" i="23"/>
  <c r="K15" i="13"/>
  <c r="K14" i="13"/>
  <c r="M48" i="49"/>
  <c r="M26" i="49"/>
  <c r="M50" i="49"/>
  <c r="I60" i="26"/>
  <c r="I38" i="26"/>
  <c r="J48" i="49"/>
  <c r="J26" i="49"/>
  <c r="J50" i="49"/>
  <c r="S12" i="26"/>
  <c r="C14" i="26"/>
  <c r="G48" i="49"/>
  <c r="G26" i="49"/>
  <c r="G50" i="49"/>
  <c r="U16" i="13"/>
  <c r="D60" i="26"/>
  <c r="D38" i="26"/>
  <c r="M16" i="13"/>
  <c r="W16" i="13"/>
  <c r="N60" i="49"/>
  <c r="N38" i="49"/>
  <c r="N62" i="49"/>
  <c r="R48" i="26"/>
  <c r="R26" i="26"/>
  <c r="F60" i="49"/>
  <c r="F38" i="49"/>
  <c r="F62" i="49"/>
  <c r="J14" i="13"/>
  <c r="W14" i="13"/>
  <c r="N14" i="13"/>
  <c r="M11" i="37"/>
  <c r="M50" i="26"/>
  <c r="M8" i="29"/>
  <c r="AG84" i="23"/>
  <c r="S14" i="13"/>
  <c r="K9" i="29"/>
  <c r="K62" i="26"/>
  <c r="K12" i="37"/>
  <c r="O12" i="37"/>
  <c r="O9" i="29"/>
  <c r="O62" i="26"/>
  <c r="R14" i="13"/>
  <c r="D62" i="26"/>
  <c r="D12" i="37"/>
  <c r="D9" i="29"/>
  <c r="E12" i="37"/>
  <c r="E9" i="29"/>
  <c r="E62" i="26"/>
  <c r="L9" i="29"/>
  <c r="L62" i="26"/>
  <c r="L12" i="37"/>
  <c r="J9" i="29"/>
  <c r="J12" i="37"/>
  <c r="J62" i="26"/>
  <c r="P14" i="13"/>
  <c r="P62" i="26"/>
  <c r="P12" i="37"/>
  <c r="P9" i="29"/>
  <c r="E8" i="29"/>
  <c r="E11" i="37"/>
  <c r="E14" i="37"/>
  <c r="E50" i="26"/>
  <c r="C11" i="37"/>
  <c r="C8" i="29"/>
  <c r="C50" i="26"/>
  <c r="I13" i="51"/>
  <c r="I13" i="28"/>
  <c r="I13" i="52"/>
  <c r="J50" i="26"/>
  <c r="J11" i="37"/>
  <c r="J14" i="37"/>
  <c r="J8" i="29"/>
  <c r="J11" i="29"/>
  <c r="O50" i="26"/>
  <c r="O11" i="37"/>
  <c r="O14" i="37"/>
  <c r="O8" i="29"/>
  <c r="O11" i="29"/>
  <c r="D8" i="29"/>
  <c r="D11" i="29"/>
  <c r="D11" i="37"/>
  <c r="D14" i="37"/>
  <c r="D50" i="26"/>
  <c r="I8" i="29"/>
  <c r="I11" i="37"/>
  <c r="I50" i="26"/>
  <c r="R9" i="29"/>
  <c r="R12" i="37"/>
  <c r="R62" i="26"/>
  <c r="S48" i="26"/>
  <c r="S26" i="26"/>
  <c r="T24" i="26"/>
  <c r="T48" i="26"/>
  <c r="R11" i="37"/>
  <c r="R14" i="37"/>
  <c r="R8" i="29"/>
  <c r="R11" i="29"/>
  <c r="R50" i="26"/>
  <c r="S14" i="26"/>
  <c r="T12" i="26"/>
  <c r="I12" i="37"/>
  <c r="I62" i="26"/>
  <c r="I9" i="29"/>
  <c r="K50" i="26"/>
  <c r="K11" i="37"/>
  <c r="K8" i="29"/>
  <c r="M14" i="13"/>
  <c r="Q9" i="29"/>
  <c r="Q12" i="37"/>
  <c r="Q62" i="26"/>
  <c r="H12" i="37"/>
  <c r="H9" i="29"/>
  <c r="H62" i="26"/>
  <c r="S60" i="49"/>
  <c r="S38" i="49"/>
  <c r="M62" i="26"/>
  <c r="M9" i="29"/>
  <c r="M12" i="37"/>
  <c r="L50" i="26"/>
  <c r="L8" i="29"/>
  <c r="L11" i="29"/>
  <c r="L11" i="37"/>
  <c r="Q50" i="26"/>
  <c r="Q8" i="29"/>
  <c r="Q11" i="37"/>
  <c r="S14" i="49"/>
  <c r="G9" i="29"/>
  <c r="G12" i="37"/>
  <c r="G62" i="26"/>
  <c r="H11" i="37"/>
  <c r="H14" i="37"/>
  <c r="H50" i="26"/>
  <c r="H8" i="29"/>
  <c r="H11" i="29"/>
  <c r="V14" i="13"/>
  <c r="G8" i="29"/>
  <c r="G50" i="26"/>
  <c r="G11" i="37"/>
  <c r="F9" i="29"/>
  <c r="F12" i="37"/>
  <c r="F62" i="26"/>
  <c r="S48" i="49"/>
  <c r="S26" i="49"/>
  <c r="N12" i="37"/>
  <c r="N9" i="29"/>
  <c r="N62" i="26"/>
  <c r="N8" i="29"/>
  <c r="N11" i="37"/>
  <c r="N50" i="26"/>
  <c r="C12" i="37"/>
  <c r="C9" i="29"/>
  <c r="C62" i="26"/>
  <c r="L14" i="13"/>
  <c r="O14" i="13"/>
  <c r="S60" i="26"/>
  <c r="S38" i="26"/>
  <c r="U14" i="13"/>
  <c r="F11" i="37"/>
  <c r="F14" i="37"/>
  <c r="F50" i="26"/>
  <c r="F8" i="29"/>
  <c r="F11" i="29"/>
  <c r="P11" i="37"/>
  <c r="P14" i="37"/>
  <c r="P50" i="26"/>
  <c r="P8" i="29"/>
  <c r="P11" i="29"/>
  <c r="X14" i="13"/>
  <c r="G11" i="29"/>
  <c r="N14" i="37"/>
  <c r="K14" i="37"/>
  <c r="M47" i="53"/>
  <c r="Q14" i="37"/>
  <c r="I11" i="29"/>
  <c r="G14" i="37"/>
  <c r="F49" i="27"/>
  <c r="L14" i="37"/>
  <c r="P49" i="27"/>
  <c r="P47" i="53"/>
  <c r="H47" i="53"/>
  <c r="H49" i="27"/>
  <c r="L47" i="53"/>
  <c r="L49" i="27"/>
  <c r="J47" i="53"/>
  <c r="J49" i="27"/>
  <c r="D47" i="53"/>
  <c r="D49" i="27"/>
  <c r="K49" i="27"/>
  <c r="K47" i="53"/>
  <c r="G49" i="27"/>
  <c r="G47" i="53"/>
  <c r="N49" i="27"/>
  <c r="N47" i="53"/>
  <c r="O49" i="27"/>
  <c r="O47" i="53"/>
  <c r="E49" i="27"/>
  <c r="E47" i="53"/>
  <c r="I49" i="27"/>
  <c r="I47" i="53"/>
  <c r="Q47" i="53"/>
  <c r="Q49" i="27"/>
  <c r="F47" i="53"/>
  <c r="R47" i="53"/>
  <c r="R49" i="27"/>
  <c r="N48" i="53"/>
  <c r="N47" i="27"/>
  <c r="N51" i="27"/>
  <c r="S9" i="29"/>
  <c r="T38" i="26"/>
  <c r="T62" i="26"/>
  <c r="S62" i="26"/>
  <c r="T35" i="26"/>
  <c r="T59" i="26"/>
  <c r="T33" i="26"/>
  <c r="T57" i="26"/>
  <c r="T34" i="26"/>
  <c r="T58" i="26"/>
  <c r="T32" i="26"/>
  <c r="T56" i="26"/>
  <c r="T36" i="26"/>
  <c r="T60" i="26"/>
  <c r="S12" i="37"/>
  <c r="T26" i="49"/>
  <c r="T50" i="49"/>
  <c r="S50" i="49"/>
  <c r="T23" i="49"/>
  <c r="T47" i="49"/>
  <c r="T22" i="49"/>
  <c r="T46" i="49"/>
  <c r="T20" i="49"/>
  <c r="T44" i="49"/>
  <c r="T21" i="49"/>
  <c r="T45" i="49"/>
  <c r="I14" i="37"/>
  <c r="T24" i="49"/>
  <c r="T48" i="49"/>
  <c r="I14" i="28"/>
  <c r="I14" i="52"/>
  <c r="I14" i="51"/>
  <c r="K11" i="29"/>
  <c r="S8" i="29"/>
  <c r="C11" i="29"/>
  <c r="S11" i="37"/>
  <c r="S14" i="37"/>
  <c r="C14" i="37"/>
  <c r="S62" i="49"/>
  <c r="T38" i="49"/>
  <c r="T62" i="49"/>
  <c r="T35" i="49"/>
  <c r="T59" i="49"/>
  <c r="T32" i="49"/>
  <c r="T56" i="49"/>
  <c r="T34" i="49"/>
  <c r="T58" i="49"/>
  <c r="T33" i="49"/>
  <c r="T57" i="49"/>
  <c r="T36" i="49"/>
  <c r="T60" i="49"/>
  <c r="G47" i="27"/>
  <c r="G48" i="53"/>
  <c r="M11" i="29"/>
  <c r="Q11" i="29"/>
  <c r="T11" i="26"/>
  <c r="T9" i="26"/>
  <c r="T10" i="26"/>
  <c r="T8" i="26"/>
  <c r="I32" i="52"/>
  <c r="I38" i="52"/>
  <c r="E11" i="29"/>
  <c r="I38" i="28"/>
  <c r="I32" i="28"/>
  <c r="M14" i="37"/>
  <c r="N11" i="29"/>
  <c r="T11" i="49"/>
  <c r="T10" i="49"/>
  <c r="T8" i="49"/>
  <c r="T9" i="49"/>
  <c r="I32" i="51"/>
  <c r="I38" i="51"/>
  <c r="J48" i="53"/>
  <c r="J47" i="27"/>
  <c r="J51" i="27"/>
  <c r="I15" i="52"/>
  <c r="I15" i="28"/>
  <c r="I15" i="51"/>
  <c r="T12" i="49"/>
  <c r="S50" i="26"/>
  <c r="T26" i="26"/>
  <c r="T50" i="26"/>
  <c r="T23" i="26"/>
  <c r="T47" i="26"/>
  <c r="T21" i="26"/>
  <c r="T45" i="26"/>
  <c r="T22" i="26"/>
  <c r="T46" i="26"/>
  <c r="T20" i="26"/>
  <c r="T44" i="26"/>
  <c r="M49" i="27"/>
  <c r="G51" i="27"/>
  <c r="J52" i="53"/>
  <c r="G23" i="27"/>
  <c r="G23" i="53"/>
  <c r="N20" i="13"/>
  <c r="N18" i="13"/>
  <c r="N12" i="13"/>
  <c r="Q48" i="53"/>
  <c r="Q47" i="27"/>
  <c r="Q51" i="27"/>
  <c r="F47" i="27"/>
  <c r="F51" i="27"/>
  <c r="F48" i="53"/>
  <c r="E48" i="53"/>
  <c r="E52" i="53"/>
  <c r="E47" i="27"/>
  <c r="E51" i="27"/>
  <c r="C48" i="53"/>
  <c r="C47" i="27"/>
  <c r="P48" i="53"/>
  <c r="P47" i="27"/>
  <c r="P51" i="27"/>
  <c r="O48" i="53"/>
  <c r="O52" i="53"/>
  <c r="O47" i="27"/>
  <c r="O51" i="27"/>
  <c r="R47" i="27"/>
  <c r="R51" i="27"/>
  <c r="R48" i="53"/>
  <c r="H47" i="27"/>
  <c r="H51" i="27"/>
  <c r="H48" i="53"/>
  <c r="H52" i="53"/>
  <c r="D48" i="53"/>
  <c r="D52" i="53"/>
  <c r="I48" i="53"/>
  <c r="I52" i="53"/>
  <c r="I47" i="27"/>
  <c r="I51" i="27"/>
  <c r="D47" i="27"/>
  <c r="D51" i="27"/>
  <c r="K47" i="27"/>
  <c r="K51" i="27"/>
  <c r="K48" i="53"/>
  <c r="R52" i="53"/>
  <c r="N52" i="53"/>
  <c r="T14" i="49"/>
  <c r="S11" i="29"/>
  <c r="T8" i="29"/>
  <c r="F52" i="53"/>
  <c r="J23" i="53"/>
  <c r="J23" i="27"/>
  <c r="Q20" i="13"/>
  <c r="Q18" i="13"/>
  <c r="Q12" i="13"/>
  <c r="T14" i="26"/>
  <c r="T9" i="29"/>
  <c r="G52" i="53"/>
  <c r="M47" i="27"/>
  <c r="M51" i="27"/>
  <c r="M48" i="53"/>
  <c r="M52" i="53"/>
  <c r="N23" i="27"/>
  <c r="N23" i="53"/>
  <c r="U20" i="13"/>
  <c r="U18" i="13"/>
  <c r="U12" i="13"/>
  <c r="L47" i="27"/>
  <c r="L51" i="27"/>
  <c r="L48" i="53"/>
  <c r="L52" i="53"/>
  <c r="Q52" i="53"/>
  <c r="K52" i="53"/>
  <c r="P52" i="53"/>
  <c r="C49" i="27"/>
  <c r="S49" i="27"/>
  <c r="C47" i="53"/>
  <c r="J35" i="53"/>
  <c r="J33" i="53"/>
  <c r="J37" i="53"/>
  <c r="J21" i="53"/>
  <c r="J25" i="53"/>
  <c r="G35" i="53"/>
  <c r="G33" i="53"/>
  <c r="G37" i="53"/>
  <c r="G21" i="53"/>
  <c r="G25" i="53"/>
  <c r="G35" i="27"/>
  <c r="G33" i="27"/>
  <c r="G37" i="27"/>
  <c r="G21" i="27"/>
  <c r="G25" i="27"/>
  <c r="S47" i="53"/>
  <c r="C52" i="53"/>
  <c r="O23" i="53"/>
  <c r="O23" i="27"/>
  <c r="V20" i="13"/>
  <c r="V18" i="13"/>
  <c r="V12" i="13"/>
  <c r="D23" i="53"/>
  <c r="D23" i="27"/>
  <c r="K20" i="13"/>
  <c r="K18" i="13"/>
  <c r="K12" i="13"/>
  <c r="Q23" i="53"/>
  <c r="Q23" i="27"/>
  <c r="X20" i="13"/>
  <c r="X18" i="13"/>
  <c r="X12" i="13"/>
  <c r="N35" i="27"/>
  <c r="N33" i="27"/>
  <c r="N37" i="27"/>
  <c r="N21" i="27"/>
  <c r="N25" i="27"/>
  <c r="K23" i="27"/>
  <c r="K23" i="53"/>
  <c r="R20" i="13"/>
  <c r="R18" i="13"/>
  <c r="R12" i="13"/>
  <c r="P23" i="27"/>
  <c r="P23" i="53"/>
  <c r="W20" i="13"/>
  <c r="W18" i="13"/>
  <c r="W12" i="13"/>
  <c r="I23" i="53"/>
  <c r="I23" i="27"/>
  <c r="P20" i="13"/>
  <c r="P18" i="13"/>
  <c r="P12" i="13"/>
  <c r="N35" i="53"/>
  <c r="N33" i="53"/>
  <c r="N37" i="53"/>
  <c r="N21" i="53"/>
  <c r="N25" i="53"/>
  <c r="R23" i="53"/>
  <c r="R23" i="27"/>
  <c r="Y20" i="13"/>
  <c r="Y18" i="13"/>
  <c r="Y12" i="13"/>
  <c r="S47" i="27"/>
  <c r="C51" i="27"/>
  <c r="F23" i="53"/>
  <c r="F23" i="27"/>
  <c r="M20" i="13"/>
  <c r="M18" i="13"/>
  <c r="M12" i="13"/>
  <c r="L23" i="27"/>
  <c r="L23" i="53"/>
  <c r="S20" i="13"/>
  <c r="S18" i="13"/>
  <c r="S12" i="13"/>
  <c r="S48" i="53"/>
  <c r="C23" i="27"/>
  <c r="C23" i="53"/>
  <c r="J20" i="13"/>
  <c r="J18" i="13"/>
  <c r="J12" i="13"/>
  <c r="J23" i="13"/>
  <c r="M23" i="27"/>
  <c r="M23" i="53"/>
  <c r="T20" i="13"/>
  <c r="T18" i="13"/>
  <c r="T12" i="13"/>
  <c r="J35" i="27"/>
  <c r="J33" i="27"/>
  <c r="J37" i="27"/>
  <c r="J21" i="27"/>
  <c r="J25" i="27"/>
  <c r="H23" i="27"/>
  <c r="H23" i="53"/>
  <c r="O20" i="13"/>
  <c r="O18" i="13"/>
  <c r="O12" i="13"/>
  <c r="E23" i="53"/>
  <c r="E23" i="27"/>
  <c r="L20" i="13"/>
  <c r="L18" i="13"/>
  <c r="L12" i="13"/>
  <c r="R35" i="53"/>
  <c r="R33" i="53"/>
  <c r="R37" i="53"/>
  <c r="R21" i="53"/>
  <c r="R25" i="53"/>
  <c r="E35" i="53"/>
  <c r="E33" i="53"/>
  <c r="E37" i="53"/>
  <c r="E21" i="53"/>
  <c r="E25" i="53"/>
  <c r="K35" i="53"/>
  <c r="K33" i="53"/>
  <c r="K37" i="53"/>
  <c r="K21" i="53"/>
  <c r="K25" i="53"/>
  <c r="K35" i="27"/>
  <c r="K33" i="27"/>
  <c r="K37" i="27"/>
  <c r="K21" i="27"/>
  <c r="K25" i="27"/>
  <c r="D35" i="27"/>
  <c r="D33" i="27"/>
  <c r="D37" i="27"/>
  <c r="D21" i="27"/>
  <c r="D25" i="27"/>
  <c r="S52" i="53"/>
  <c r="T49" i="53"/>
  <c r="N16" i="37"/>
  <c r="N10" i="37"/>
  <c r="N13" i="29"/>
  <c r="N15" i="29"/>
  <c r="D35" i="53"/>
  <c r="D33" i="53"/>
  <c r="D37" i="53"/>
  <c r="D21" i="53"/>
  <c r="D25" i="53"/>
  <c r="O35" i="27"/>
  <c r="O33" i="27"/>
  <c r="O37" i="27"/>
  <c r="O21" i="27"/>
  <c r="O25" i="27"/>
  <c r="O35" i="53"/>
  <c r="O33" i="53"/>
  <c r="O37" i="53"/>
  <c r="O21" i="53"/>
  <c r="O25" i="53"/>
  <c r="S51" i="27"/>
  <c r="T47" i="27"/>
  <c r="G13" i="29"/>
  <c r="G15" i="29"/>
  <c r="G16" i="37"/>
  <c r="G10" i="37"/>
  <c r="E35" i="27"/>
  <c r="E33" i="27"/>
  <c r="E37" i="27"/>
  <c r="E21" i="27"/>
  <c r="E25" i="27"/>
  <c r="L35" i="53"/>
  <c r="L33" i="53"/>
  <c r="L37" i="53"/>
  <c r="L21" i="53"/>
  <c r="L25" i="53"/>
  <c r="F35" i="27"/>
  <c r="F33" i="27"/>
  <c r="F37" i="27"/>
  <c r="F21" i="27"/>
  <c r="F25" i="27"/>
  <c r="P35" i="53"/>
  <c r="P33" i="53"/>
  <c r="P37" i="53"/>
  <c r="P21" i="53"/>
  <c r="P25" i="53"/>
  <c r="Q35" i="27"/>
  <c r="Q33" i="27"/>
  <c r="Q37" i="27"/>
  <c r="Q21" i="27"/>
  <c r="Q25" i="27"/>
  <c r="M35" i="53"/>
  <c r="M33" i="53"/>
  <c r="M37" i="53"/>
  <c r="M21" i="53"/>
  <c r="M25" i="53"/>
  <c r="H35" i="53"/>
  <c r="H33" i="53"/>
  <c r="H37" i="53"/>
  <c r="H21" i="53"/>
  <c r="H25" i="53"/>
  <c r="M35" i="27"/>
  <c r="M33" i="27"/>
  <c r="M37" i="27"/>
  <c r="M21" i="27"/>
  <c r="M25" i="27"/>
  <c r="C35" i="53"/>
  <c r="S23" i="53"/>
  <c r="C21" i="53"/>
  <c r="L35" i="27"/>
  <c r="L33" i="27"/>
  <c r="L37" i="27"/>
  <c r="L21" i="27"/>
  <c r="L25" i="27"/>
  <c r="F35" i="53"/>
  <c r="F33" i="53"/>
  <c r="F37" i="53"/>
  <c r="F21" i="53"/>
  <c r="F25" i="53"/>
  <c r="I35" i="27"/>
  <c r="I33" i="27"/>
  <c r="I37" i="27"/>
  <c r="I21" i="27"/>
  <c r="I25" i="27"/>
  <c r="P35" i="27"/>
  <c r="P33" i="27"/>
  <c r="P37" i="27"/>
  <c r="P21" i="27"/>
  <c r="P25" i="27"/>
  <c r="Q35" i="53"/>
  <c r="Q33" i="53"/>
  <c r="Q37" i="53"/>
  <c r="Q21" i="53"/>
  <c r="Q25" i="53"/>
  <c r="I35" i="53"/>
  <c r="I33" i="53"/>
  <c r="I37" i="53"/>
  <c r="I21" i="53"/>
  <c r="I25" i="53"/>
  <c r="J16" i="37"/>
  <c r="J10" i="37"/>
  <c r="J13" i="29"/>
  <c r="J15" i="29"/>
  <c r="H35" i="27"/>
  <c r="H33" i="27"/>
  <c r="H37" i="27"/>
  <c r="H21" i="27"/>
  <c r="H25" i="27"/>
  <c r="S23" i="27"/>
  <c r="C35" i="27"/>
  <c r="C21" i="27"/>
  <c r="R35" i="27"/>
  <c r="R33" i="27"/>
  <c r="R37" i="27"/>
  <c r="R21" i="27"/>
  <c r="R25" i="27"/>
  <c r="T47" i="53"/>
  <c r="K16" i="37"/>
  <c r="K10" i="37"/>
  <c r="K13" i="29"/>
  <c r="K15" i="29"/>
  <c r="H13" i="29"/>
  <c r="H15" i="29"/>
  <c r="H16" i="37"/>
  <c r="H10" i="37"/>
  <c r="L16" i="37"/>
  <c r="L10" i="37"/>
  <c r="L13" i="29"/>
  <c r="L15" i="29"/>
  <c r="S21" i="53"/>
  <c r="C25" i="53"/>
  <c r="S25" i="53"/>
  <c r="T18" i="53"/>
  <c r="S35" i="53"/>
  <c r="C33" i="53"/>
  <c r="T23" i="53"/>
  <c r="T48" i="27"/>
  <c r="T49" i="27"/>
  <c r="T51" i="27"/>
  <c r="O16" i="37"/>
  <c r="O10" i="37"/>
  <c r="O13" i="29"/>
  <c r="O15" i="29"/>
  <c r="P16" i="37"/>
  <c r="P10" i="37"/>
  <c r="P13" i="29"/>
  <c r="P15" i="29"/>
  <c r="F16" i="37"/>
  <c r="F10" i="37"/>
  <c r="F13" i="29"/>
  <c r="F15" i="29"/>
  <c r="M16" i="37"/>
  <c r="M10" i="37"/>
  <c r="M13" i="29"/>
  <c r="M15" i="29"/>
  <c r="T48" i="53"/>
  <c r="I16" i="37"/>
  <c r="I10" i="37"/>
  <c r="I13" i="29"/>
  <c r="I15" i="29"/>
  <c r="E13" i="29"/>
  <c r="E15" i="29"/>
  <c r="E16" i="37"/>
  <c r="E10" i="37"/>
  <c r="R13" i="29"/>
  <c r="R15" i="29"/>
  <c r="R16" i="37"/>
  <c r="R10" i="37"/>
  <c r="S21" i="27"/>
  <c r="C25" i="27"/>
  <c r="S25" i="27"/>
  <c r="T18" i="27"/>
  <c r="Q16" i="37"/>
  <c r="Q10" i="37"/>
  <c r="Q13" i="29"/>
  <c r="Q15" i="29"/>
  <c r="S35" i="27"/>
  <c r="C33" i="27"/>
  <c r="D16" i="37"/>
  <c r="D10" i="37"/>
  <c r="D13" i="29"/>
  <c r="D15" i="29"/>
  <c r="T52" i="53"/>
  <c r="S33" i="53"/>
  <c r="C37" i="53"/>
  <c r="T21" i="27"/>
  <c r="T22" i="27"/>
  <c r="T21" i="53"/>
  <c r="T25" i="53"/>
  <c r="T22" i="53"/>
  <c r="S33" i="27"/>
  <c r="C37" i="27"/>
  <c r="T25" i="27"/>
  <c r="T23" i="27"/>
  <c r="C40" i="27"/>
  <c r="S37" i="27"/>
  <c r="T33" i="27"/>
  <c r="C16" i="37"/>
  <c r="C13" i="29"/>
  <c r="S37" i="53"/>
  <c r="T30" i="53"/>
  <c r="C40" i="53"/>
  <c r="T33" i="53"/>
  <c r="I16" i="51"/>
  <c r="I39" i="51"/>
  <c r="I16" i="28"/>
  <c r="I39" i="28"/>
  <c r="I16" i="52"/>
  <c r="I39" i="52"/>
  <c r="S13" i="29"/>
  <c r="C15" i="29"/>
  <c r="C17" i="29"/>
  <c r="I10" i="52"/>
  <c r="I10" i="28"/>
  <c r="I10" i="51"/>
  <c r="S16" i="37"/>
  <c r="S10" i="37"/>
  <c r="C10" i="37"/>
  <c r="C18" i="37"/>
  <c r="T30" i="27"/>
  <c r="T37" i="27"/>
  <c r="T37" i="53"/>
  <c r="I17" i="51"/>
  <c r="I17" i="52"/>
  <c r="I17" i="28"/>
  <c r="I9" i="51"/>
  <c r="I9" i="28"/>
  <c r="I9" i="52"/>
  <c r="I12" i="52"/>
  <c r="I42" i="52"/>
  <c r="I12" i="51"/>
  <c r="I42" i="51"/>
  <c r="I12" i="28"/>
  <c r="I42" i="28"/>
  <c r="S15" i="29"/>
  <c r="T13" i="29"/>
  <c r="T15" i="29"/>
  <c r="T11" i="29"/>
  <c r="I48" i="28"/>
  <c r="I40" i="28"/>
  <c r="I40" i="52"/>
  <c r="I48" i="52"/>
  <c r="I40" i="51"/>
  <c r="I48" i="51"/>
  <c r="I11" i="28"/>
  <c r="I41" i="28"/>
  <c r="I11" i="51"/>
  <c r="I41" i="51"/>
  <c r="I11" i="52"/>
  <c r="I41" i="52"/>
  <c r="G14" i="31"/>
  <c r="F14" i="31"/>
  <c r="F23" i="55"/>
  <c r="V14" i="31"/>
  <c r="W14" i="31"/>
  <c r="G15" i="31"/>
  <c r="F15" i="31"/>
  <c r="G6" i="31"/>
  <c r="F6" i="31"/>
  <c r="G16" i="31"/>
  <c r="F16" i="31"/>
  <c r="G9" i="31"/>
  <c r="F9" i="31"/>
  <c r="U14" i="31"/>
  <c r="M23" i="55"/>
  <c r="L23" i="55"/>
  <c r="M24" i="55"/>
  <c r="M25" i="55"/>
  <c r="N14" i="31"/>
  <c r="G23" i="55"/>
  <c r="G24" i="55"/>
  <c r="G25" i="55"/>
  <c r="H14" i="31"/>
  <c r="R14" i="31"/>
  <c r="O14" i="31"/>
  <c r="N23" i="55"/>
  <c r="N24" i="55"/>
  <c r="N25" i="55"/>
  <c r="P23" i="55"/>
  <c r="O23" i="55"/>
  <c r="P24" i="55"/>
  <c r="P25" i="55"/>
  <c r="Q14" i="31"/>
  <c r="V9" i="31"/>
  <c r="W9" i="31"/>
  <c r="V6" i="31"/>
  <c r="W6" i="31"/>
  <c r="V15" i="31"/>
  <c r="W15" i="31"/>
  <c r="V16" i="31"/>
  <c r="W16" i="31"/>
  <c r="T14" i="31"/>
  <c r="L14" i="31"/>
  <c r="K23" i="55"/>
  <c r="J14" i="31"/>
  <c r="I23" i="55"/>
  <c r="P14" i="31"/>
  <c r="O24" i="55"/>
  <c r="O25" i="55"/>
  <c r="M14" i="31"/>
  <c r="M6" i="31"/>
  <c r="M16" i="31"/>
  <c r="M9" i="31"/>
  <c r="M15" i="31"/>
  <c r="L7" i="55"/>
  <c r="K14" i="31"/>
  <c r="J23" i="55"/>
  <c r="J24" i="55"/>
  <c r="J25" i="55"/>
  <c r="T6" i="31"/>
  <c r="T9" i="31"/>
  <c r="T15" i="31"/>
  <c r="T16" i="31"/>
  <c r="I14" i="31"/>
  <c r="H23" i="55"/>
  <c r="H24" i="55"/>
  <c r="H25" i="55"/>
  <c r="S14" i="31"/>
  <c r="O16" i="31"/>
  <c r="N7" i="55"/>
  <c r="O9" i="31"/>
  <c r="O15" i="31"/>
  <c r="O6" i="31"/>
  <c r="G13" i="55"/>
  <c r="H13" i="55"/>
  <c r="I24" i="55"/>
  <c r="I25" i="55"/>
  <c r="I13" i="55"/>
  <c r="J13" i="55"/>
  <c r="K24" i="55"/>
  <c r="K25" i="55"/>
  <c r="K13" i="55"/>
  <c r="L24" i="55"/>
  <c r="L25" i="55"/>
  <c r="L13" i="55"/>
  <c r="M13" i="55"/>
  <c r="N13" i="55"/>
  <c r="O13" i="55"/>
  <c r="P13" i="55"/>
  <c r="Q13" i="55"/>
  <c r="G20" i="55"/>
  <c r="H20" i="55"/>
  <c r="G18" i="55"/>
  <c r="H18" i="55"/>
  <c r="I18" i="55"/>
  <c r="J18" i="55"/>
  <c r="K18" i="55"/>
  <c r="L18" i="55"/>
  <c r="M18" i="55"/>
  <c r="N18" i="55"/>
  <c r="O18" i="55"/>
  <c r="P18" i="55"/>
  <c r="Q18" i="55"/>
  <c r="G16" i="55"/>
  <c r="H16" i="55"/>
  <c r="L16" i="31"/>
  <c r="K7" i="55"/>
  <c r="L6" i="31"/>
  <c r="L9" i="31"/>
  <c r="L15" i="31"/>
  <c r="Q16" i="31"/>
  <c r="P7" i="55"/>
  <c r="Q7" i="55"/>
  <c r="Q6" i="31"/>
  <c r="Q15" i="31"/>
  <c r="Q9" i="31"/>
  <c r="C8" i="36"/>
  <c r="J7" i="55"/>
  <c r="K6" i="31"/>
  <c r="K16" i="31"/>
  <c r="K9" i="31"/>
  <c r="K15" i="31"/>
  <c r="J9" i="31"/>
  <c r="I7" i="55"/>
  <c r="J16" i="31"/>
  <c r="J15" i="31"/>
  <c r="J6" i="31"/>
  <c r="U9" i="31"/>
  <c r="U15" i="31"/>
  <c r="U6" i="31"/>
  <c r="U16" i="31"/>
  <c r="R9" i="31"/>
  <c r="R15" i="31"/>
  <c r="R16" i="31"/>
  <c r="R6" i="31"/>
  <c r="N15" i="31"/>
  <c r="N6" i="31"/>
  <c r="N16" i="31"/>
  <c r="M7" i="55"/>
  <c r="N9" i="31"/>
  <c r="I8" i="36"/>
  <c r="P8" i="36"/>
  <c r="P9" i="31"/>
  <c r="O7" i="55"/>
  <c r="P16" i="31"/>
  <c r="P6" i="31"/>
  <c r="P15" i="31"/>
  <c r="S16" i="31"/>
  <c r="S9" i="31"/>
  <c r="S15" i="31"/>
  <c r="S6" i="31"/>
  <c r="K8" i="36"/>
  <c r="I9" i="31"/>
  <c r="H7" i="55"/>
  <c r="I15" i="31"/>
  <c r="I6" i="31"/>
  <c r="I16" i="31"/>
  <c r="R8" i="36"/>
  <c r="H9" i="31"/>
  <c r="H16" i="31"/>
  <c r="H15" i="31"/>
  <c r="H6" i="31"/>
  <c r="G7" i="55"/>
  <c r="E8" i="36"/>
  <c r="P9" i="36"/>
  <c r="Q8" i="36"/>
  <c r="M8" i="36"/>
  <c r="N8" i="36"/>
  <c r="I21" i="52"/>
  <c r="I55" i="52"/>
  <c r="I21" i="28"/>
  <c r="I55" i="28"/>
  <c r="I21" i="51"/>
  <c r="I55" i="51"/>
  <c r="C9" i="36"/>
  <c r="H8" i="36"/>
  <c r="G8" i="36"/>
  <c r="O8" i="36"/>
  <c r="I9" i="36"/>
  <c r="F8" i="36"/>
  <c r="D8" i="36"/>
  <c r="J8" i="36"/>
  <c r="L8" i="36"/>
  <c r="S8" i="36"/>
  <c r="T8" i="36"/>
  <c r="R9" i="36"/>
  <c r="K9" i="36"/>
  <c r="I20" i="55"/>
  <c r="J20" i="55"/>
  <c r="K20" i="55"/>
  <c r="L20" i="55"/>
  <c r="M20" i="55"/>
  <c r="N20" i="55"/>
  <c r="O20" i="55"/>
  <c r="P20" i="55"/>
  <c r="Q20" i="55"/>
  <c r="I16" i="55"/>
  <c r="J16" i="55"/>
  <c r="K16" i="55"/>
  <c r="L16" i="55"/>
  <c r="M16" i="55"/>
  <c r="N16" i="55"/>
  <c r="O16" i="55"/>
  <c r="P16" i="55"/>
  <c r="Q16" i="55"/>
  <c r="D10" i="36"/>
  <c r="Q10" i="36"/>
  <c r="L9" i="36"/>
  <c r="E9" i="36"/>
  <c r="D9" i="36"/>
  <c r="F9" i="36"/>
  <c r="G9" i="36"/>
  <c r="H9" i="36"/>
  <c r="J9" i="36"/>
  <c r="M9" i="36"/>
  <c r="N9" i="36"/>
  <c r="O9" i="36"/>
  <c r="Q9" i="36"/>
  <c r="S9" i="36"/>
  <c r="T9" i="36"/>
  <c r="J10" i="36"/>
  <c r="L10" i="36"/>
  <c r="N10" i="36"/>
  <c r="Q10" i="13"/>
  <c r="Q8" i="13"/>
  <c r="Q23" i="13"/>
  <c r="J12" i="36"/>
  <c r="J8" i="37"/>
  <c r="J18" i="37"/>
  <c r="L12" i="36"/>
  <c r="L8" i="37"/>
  <c r="L18" i="37"/>
  <c r="S10" i="13"/>
  <c r="S8" i="13"/>
  <c r="S23" i="13"/>
  <c r="P10" i="36"/>
  <c r="F10" i="36"/>
  <c r="E10" i="36"/>
  <c r="G10" i="36"/>
  <c r="H10" i="36"/>
  <c r="I10" i="36"/>
  <c r="K10" i="36"/>
  <c r="M10" i="36"/>
  <c r="O10" i="36"/>
  <c r="R10" i="36"/>
  <c r="S10" i="36"/>
  <c r="T10" i="36"/>
  <c r="X10" i="13"/>
  <c r="X8" i="13"/>
  <c r="X23" i="13"/>
  <c r="Q12" i="36"/>
  <c r="Q8" i="37"/>
  <c r="Q18" i="37"/>
  <c r="K10" i="13"/>
  <c r="K8" i="13"/>
  <c r="K23" i="13"/>
  <c r="D12" i="36"/>
  <c r="I12" i="36"/>
  <c r="I8" i="37"/>
  <c r="I18" i="37"/>
  <c r="P10" i="13"/>
  <c r="P8" i="13"/>
  <c r="P23" i="13"/>
  <c r="F12" i="36"/>
  <c r="F8" i="37"/>
  <c r="F18" i="37"/>
  <c r="M10" i="13"/>
  <c r="M8" i="13"/>
  <c r="M23" i="13"/>
  <c r="R10" i="13"/>
  <c r="R8" i="13"/>
  <c r="R23" i="13"/>
  <c r="K12" i="36"/>
  <c r="K8" i="37"/>
  <c r="K18" i="37"/>
  <c r="D8" i="37"/>
  <c r="E12" i="36"/>
  <c r="G12" i="36"/>
  <c r="H12" i="36"/>
  <c r="M12" i="36"/>
  <c r="N12" i="36"/>
  <c r="O12" i="36"/>
  <c r="P12" i="36"/>
  <c r="R12" i="36"/>
  <c r="C15" i="36"/>
  <c r="H8" i="37"/>
  <c r="H18" i="37"/>
  <c r="O10" i="13"/>
  <c r="O8" i="13"/>
  <c r="O23" i="13"/>
  <c r="W10" i="13"/>
  <c r="W8" i="13"/>
  <c r="W23" i="13"/>
  <c r="P8" i="37"/>
  <c r="P18" i="37"/>
  <c r="O8" i="37"/>
  <c r="O18" i="37"/>
  <c r="V10" i="13"/>
  <c r="V8" i="13"/>
  <c r="V23" i="13"/>
  <c r="L10" i="13"/>
  <c r="L8" i="13"/>
  <c r="L23" i="13"/>
  <c r="E8" i="37"/>
  <c r="E18" i="37"/>
  <c r="G8" i="37"/>
  <c r="G18" i="37"/>
  <c r="N10" i="13"/>
  <c r="N8" i="13"/>
  <c r="N23" i="13"/>
  <c r="T10" i="13"/>
  <c r="T8" i="13"/>
  <c r="T23" i="13"/>
  <c r="U10" i="13"/>
  <c r="U8" i="13"/>
  <c r="U23" i="13"/>
  <c r="Y10" i="13"/>
  <c r="Y8" i="13"/>
  <c r="Y23" i="13"/>
  <c r="G28" i="13"/>
  <c r="M8" i="37"/>
  <c r="M18" i="37"/>
  <c r="R8" i="37"/>
  <c r="R18" i="37"/>
  <c r="N8" i="37"/>
  <c r="N18" i="37"/>
  <c r="S12" i="36"/>
  <c r="T12" i="36"/>
  <c r="S8" i="37"/>
  <c r="D18" i="37"/>
  <c r="I18" i="51"/>
  <c r="I54" i="51"/>
  <c r="I18" i="28"/>
  <c r="I54" i="28"/>
  <c r="I18" i="52"/>
  <c r="I54" i="52"/>
  <c r="I20" i="28"/>
  <c r="I62" i="28"/>
  <c r="I20" i="52"/>
  <c r="I62" i="52"/>
  <c r="I20" i="51"/>
  <c r="I62" i="51"/>
  <c r="C20" i="37"/>
  <c r="S18" i="37"/>
  <c r="I19" i="52"/>
  <c r="I61" i="52"/>
  <c r="I19" i="28"/>
  <c r="I61" i="28"/>
  <c r="I19" i="51"/>
  <c r="I61" i="51"/>
  <c r="G14" i="44"/>
  <c r="F14" i="44"/>
  <c r="D14" i="44"/>
  <c r="E14" i="44"/>
  <c r="C14" i="44"/>
  <c r="H12" i="44"/>
  <c r="H14" i="44"/>
  <c r="D3" i="44"/>
  <c r="D7" i="44"/>
  <c r="D17" i="44"/>
  <c r="E17" i="44"/>
  <c r="F17" i="44"/>
  <c r="G17" i="44"/>
  <c r="C17" i="44"/>
  <c r="E6" i="44"/>
  <c r="E3" i="44"/>
  <c r="E7" i="44"/>
  <c r="E5" i="44"/>
  <c r="E4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</author>
  </authors>
  <commentList>
    <comment ref="B16" authorId="0" shapeId="0" xr:uid="{00000000-0006-0000-1F00-000001000000}">
      <text>
        <r>
          <rPr>
            <b/>
            <sz val="9"/>
            <color indexed="81"/>
            <rFont val="Arial"/>
            <family val="2"/>
          </rPr>
          <t>rafael:</t>
        </r>
        <r>
          <rPr>
            <sz val="9"/>
            <color indexed="81"/>
            <rFont val="Arial"/>
            <family val="2"/>
          </rPr>
          <t xml:space="preserve">
indicador de componente 2</t>
        </r>
      </text>
    </comment>
    <comment ref="B18" authorId="0" shapeId="0" xr:uid="{00000000-0006-0000-1F00-000002000000}">
      <text>
        <r>
          <rPr>
            <b/>
            <sz val="9"/>
            <color indexed="81"/>
            <rFont val="Arial"/>
            <family val="2"/>
          </rPr>
          <t>rafael:</t>
        </r>
        <r>
          <rPr>
            <sz val="9"/>
            <color indexed="81"/>
            <rFont val="Arial"/>
            <family val="2"/>
          </rPr>
          <t xml:space="preserve">
ind comp 2</t>
        </r>
      </text>
    </comment>
    <comment ref="B20" authorId="0" shapeId="0" xr:uid="{00000000-0006-0000-1F00-000003000000}">
      <text>
        <r>
          <rPr>
            <b/>
            <sz val="9"/>
            <color indexed="81"/>
            <rFont val="Arial"/>
            <family val="2"/>
          </rPr>
          <t>rafael:</t>
        </r>
        <r>
          <rPr>
            <sz val="9"/>
            <color indexed="81"/>
            <rFont val="Arial"/>
            <family val="2"/>
          </rPr>
          <t xml:space="preserve">
ind compon 3</t>
        </r>
      </text>
    </comment>
  </commentList>
</comments>
</file>

<file path=xl/sharedStrings.xml><?xml version="1.0" encoding="utf-8"?>
<sst xmlns="http://schemas.openxmlformats.org/spreadsheetml/2006/main" count="3744" uniqueCount="905">
  <si>
    <t>Total Project</t>
  </si>
  <si>
    <t>Componente 1</t>
  </si>
  <si>
    <t>Componentes</t>
  </si>
  <si>
    <t>Componente 2</t>
  </si>
  <si>
    <t>Gestión administrativa</t>
  </si>
  <si>
    <t>Contingencia</t>
  </si>
  <si>
    <t>Total componentes</t>
  </si>
  <si>
    <t>Productos</t>
  </si>
  <si>
    <t>Productos proyecto
 (S/.)</t>
  </si>
  <si>
    <t>Consultorías Individuales</t>
  </si>
  <si>
    <t>Firmas Consultorías</t>
  </si>
  <si>
    <t>Bienes</t>
  </si>
  <si>
    <t>Servicios diferentes of consultorías</t>
  </si>
  <si>
    <t>Obras</t>
  </si>
  <si>
    <t>Descripción</t>
  </si>
  <si>
    <t xml:space="preserve">Monto
Unitario </t>
  </si>
  <si>
    <t>Cantidad (Meses)</t>
  </si>
  <si>
    <t>Expertos</t>
  </si>
  <si>
    <t>Total</t>
  </si>
  <si>
    <t>Unidad Monto</t>
  </si>
  <si>
    <t>Cantidad Meses</t>
  </si>
  <si>
    <t>Cantidad</t>
  </si>
  <si>
    <t>M2</t>
  </si>
  <si>
    <t xml:space="preserve">M2 </t>
  </si>
  <si>
    <t>Total Componente 1</t>
  </si>
  <si>
    <t xml:space="preserve">Componente I. Sistema de gestión presupuestaria de planillas del sector público </t>
  </si>
  <si>
    <t>1.1 Sistema integrado de gestión de planillas integrando todas las entidades del sector público (SIGEP-SP)</t>
  </si>
  <si>
    <t>Elaboración de estudio definitivo</t>
  </si>
  <si>
    <t>Consultorías para apoyar la implantación del sistema de planillas en los gobiernos subnacionales</t>
  </si>
  <si>
    <t>Adquisición de una solución (sistema informático) Comercial of the shelf (COATS) para la gestión de planillas</t>
  </si>
  <si>
    <t>Seminarios para la diseminación del nuevo sistema</t>
  </si>
  <si>
    <t>Aseguramiento de la calidad</t>
  </si>
  <si>
    <t>Interfaces con otros sistemas</t>
  </si>
  <si>
    <t>Programa de entrenamiento en el uso del sistema</t>
  </si>
  <si>
    <t>Capacitación</t>
  </si>
  <si>
    <t>Gestión del cambio</t>
  </si>
  <si>
    <t>Desarrollo</t>
  </si>
  <si>
    <t>Soporte pos-productivo</t>
  </si>
  <si>
    <t>Mesa de ayuda</t>
  </si>
  <si>
    <t>Coordinación técnica SIGEP</t>
  </si>
  <si>
    <t>Equipamiento de coordinación técnica</t>
  </si>
  <si>
    <t>1.2 Plataforma Tecnológico para la operación y almacenamiento de los datos para la operación del SIGEP-SP.</t>
  </si>
  <si>
    <t>Infraestructura</t>
  </si>
  <si>
    <t>Plataforma Tecnológica, (servidores, storage, telecomunicación)</t>
  </si>
  <si>
    <t>Sala de control de la operación del sistema de planillas</t>
  </si>
  <si>
    <t>1.3 Normas y directivas para apoyar la gestión de la planilla de forma centralizada</t>
  </si>
  <si>
    <t>Consultoría especializada en normas y directrices</t>
  </si>
  <si>
    <t>Seminarios para la diseminación de las normas y directrices</t>
  </si>
  <si>
    <t>1.4 Estudios para el tratamiento/análisis de la información generada por el SIGEP-SP</t>
  </si>
  <si>
    <t>Consultorías para la preparación de estudios</t>
  </si>
  <si>
    <t>Seminarios para la diseminación de los estudios</t>
  </si>
  <si>
    <t>Total Componente 2</t>
  </si>
  <si>
    <t xml:space="preserve">Componente 2 - Mejora en las capacidades funcionales y analíticas en el servicio de información presupuestaria de planillas </t>
  </si>
  <si>
    <t>2.1 Estrategia para facilitar el proceso de modernización de la información de forma progresiva referente a la gestión de planillas en los niveles de gobierno contemplados</t>
  </si>
  <si>
    <t>Preparación y puesta en marcha de una estrategia para facilitar el proceso de modernización de la información de forma progresiva referente a la gestión de planillas en los niveles de gobierno contemplados</t>
  </si>
  <si>
    <t>Seminarios para diseminar la estrategia de implantación del sistema</t>
  </si>
  <si>
    <t xml:space="preserve">2.2 Modelo de evaluación de personal basado en competencia </t>
  </si>
  <si>
    <t>Desarrollo de cursos de la capacitación presencial</t>
  </si>
  <si>
    <t>Consultoría para diseñar el perfil de los gestores de planilla, evaluar los Gaps con base en competencias y proponer e implantar un proceso de fortalecimiento de esto personal</t>
  </si>
  <si>
    <t>Seminarios para diseminar los avances en la transformación del personal</t>
  </si>
  <si>
    <t>Ejecución de la capacitación presencial</t>
  </si>
  <si>
    <t>Capacitación en temas de gestión de planillas de los órganos rectores</t>
  </si>
  <si>
    <t xml:space="preserve">2.3 Centro virtual de capacitación </t>
  </si>
  <si>
    <t>Implementación de la capacitación virtual</t>
  </si>
  <si>
    <t>Establecimiento de un centro virtual de capacitación</t>
  </si>
  <si>
    <t>Ejecución de la capacitación virtual</t>
  </si>
  <si>
    <t xml:space="preserve">2.4 Herramientas de data-analíticos </t>
  </si>
  <si>
    <t>Herramientas de data-analíticos para los órganos rectores</t>
  </si>
  <si>
    <t>Seminarios para diseminar la herramientas data-analítica</t>
  </si>
  <si>
    <t xml:space="preserve">2.5 Programa para apoyar  la gestión de cambio de la modernización/centralización de planillas </t>
  </si>
  <si>
    <t>Consultoría para durante toda la ejecución del proyecto, que mitigue la resistencia del personal involucrado al uso de los nuevos procesos y sistemas a ser implantados, incluyendo un masivo proceso de comunicación con todos los involucrados</t>
  </si>
  <si>
    <t>Seminarios para apoyar a transición</t>
  </si>
  <si>
    <t>Coordinación de la capacitación</t>
  </si>
  <si>
    <t>Componente 3</t>
  </si>
  <si>
    <t>3. Mejoramiento de la inteligencia fiscal y de la gestión del riesgo</t>
  </si>
  <si>
    <t>Total Gestión Administrativa del Proyecto</t>
  </si>
  <si>
    <t>Gestión del Proyecto</t>
  </si>
  <si>
    <t>Coordinador</t>
  </si>
  <si>
    <t>Equipo Ejecutor</t>
  </si>
  <si>
    <t>Coordinador Proyecto</t>
  </si>
  <si>
    <t>Coordinador Administrativo</t>
  </si>
  <si>
    <t>Analista de Procesos y Proyectos</t>
  </si>
  <si>
    <t>Asistente Administrativo</t>
  </si>
  <si>
    <t>Abogado</t>
  </si>
  <si>
    <t>Coordinador de Gestión</t>
  </si>
  <si>
    <t>Supervisor de Gestión del Cambio</t>
  </si>
  <si>
    <t>Supervisor de Servicios 1</t>
  </si>
  <si>
    <t>Supervisor de Servicios 2</t>
  </si>
  <si>
    <t>Especialista en compras</t>
  </si>
  <si>
    <t>Sectorista 1</t>
  </si>
  <si>
    <t>Especialista Financiero</t>
  </si>
  <si>
    <t>Sectorista 2</t>
  </si>
  <si>
    <t>Especialista en Monitoreo</t>
  </si>
  <si>
    <t>-</t>
  </si>
  <si>
    <t>Servicios EE</t>
  </si>
  <si>
    <t>Evaluaciones</t>
  </si>
  <si>
    <t>Evaluación Intermedia</t>
  </si>
  <si>
    <t>Reflexiva</t>
  </si>
  <si>
    <t>Evaluación Final</t>
  </si>
  <si>
    <t>Económica</t>
  </si>
  <si>
    <t>Impacto</t>
  </si>
  <si>
    <t>PCR</t>
  </si>
  <si>
    <t>Auditorias</t>
  </si>
  <si>
    <t>Asistencia Técnica</t>
  </si>
  <si>
    <t>Consultor Internacional</t>
  </si>
  <si>
    <t>Estudio definitivo</t>
  </si>
  <si>
    <t>Total por categorías de gasto</t>
  </si>
  <si>
    <t>%</t>
  </si>
  <si>
    <t>Categories</t>
  </si>
  <si>
    <t>Rates</t>
  </si>
  <si>
    <t>Per diem and Tickets</t>
  </si>
  <si>
    <t>Taxes</t>
  </si>
  <si>
    <t>International Consultancy</t>
  </si>
  <si>
    <t>Local consultancy Tipo 1 Coordinación</t>
  </si>
  <si>
    <t>Local consultancy Tipo 1 Especialista</t>
  </si>
  <si>
    <t>Consultant Firm Int</t>
  </si>
  <si>
    <t>International Lawyer</t>
  </si>
  <si>
    <t>National Lawyer</t>
  </si>
  <si>
    <t>Training consultancy</t>
  </si>
  <si>
    <t>Consultant Firm Local</t>
  </si>
  <si>
    <t>Construction / Remodeling M2</t>
  </si>
  <si>
    <t>Workshops</t>
  </si>
  <si>
    <t>Individual Training</t>
  </si>
  <si>
    <t>Data Base Servers</t>
  </si>
  <si>
    <t>Oracle License</t>
  </si>
  <si>
    <t>By processor</t>
  </si>
  <si>
    <t>Storage type San</t>
  </si>
  <si>
    <t>Rack support Server</t>
  </si>
  <si>
    <t>Communication Servers</t>
  </si>
  <si>
    <t>Lan Network and Core</t>
  </si>
  <si>
    <t>Communication Server WS</t>
  </si>
  <si>
    <t>by point</t>
  </si>
  <si>
    <t>Offices Communication</t>
  </si>
  <si>
    <t>Applications Server</t>
  </si>
  <si>
    <t>Security Platform</t>
  </si>
  <si>
    <t>Contingency Platform</t>
  </si>
  <si>
    <t>Business Intelligence</t>
  </si>
  <si>
    <t>Electronic Document Management Platform</t>
  </si>
  <si>
    <t>Computers (Thin Client)</t>
  </si>
  <si>
    <t>Integrated System for inventory Management and Human Resources Management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</si>
  <si>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</si>
  <si>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</si>
  <si>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</si>
  <si>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</si>
  <si>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</si>
  <si>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</si>
  <si>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</si>
  <si>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</si>
  <si>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</si>
  <si>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Dólar</t>
  </si>
  <si>
    <t>Cuadro 1. Costos estimados del programa (US$)</t>
  </si>
  <si>
    <t>Categorías</t>
  </si>
  <si>
    <t>BID</t>
  </si>
  <si>
    <t>Local</t>
  </si>
  <si>
    <t>1. Costos Directos</t>
  </si>
  <si>
    <t>Componente II. Mejora en las capacidades funcionales y analíticas en el servicio de información presupuestaria de planillas</t>
  </si>
  <si>
    <t>2. Gestión del Proyecto</t>
  </si>
  <si>
    <t>Componente I. Sistema de Gestión Presupuestaria de Planillas del Sector Público</t>
  </si>
  <si>
    <t>1.1 SIGEP-SP integrando todas las entidades del sector público, con opción de operación off-line</t>
  </si>
  <si>
    <t>Contratación del equipo de profesionales necesarios para la supervisión técnica de los servicios contratados en el Componente 1 del Proyecto SIGEP-SP.</t>
  </si>
  <si>
    <t>Contratación y customización del software integrado Gestión Presupuestaria de Planillas</t>
  </si>
  <si>
    <t>Adquisición del equipamiento necesario para el Equipo de Coordinación Técnica del Proyecto SIGEP-SP.</t>
  </si>
  <si>
    <t>Mantenimiento evolutivo del sistema de Gestión Presupuestaria de Planillas  de acuerdo con la evolución de la normativa vigente</t>
  </si>
  <si>
    <t>Capacitaciones en el uso del sistema</t>
  </si>
  <si>
    <t xml:space="preserve">Mesa de ayuda. Punto único de contacto de los usuarios del SIGEP-SP para la recepción de sus requerimientos (consultas, solicitudes e incidencias) </t>
  </si>
  <si>
    <t>1.2 Plataforma Tecnológica para la operación y almacenamiento de los datos para la operación del SIGEP-SP</t>
  </si>
  <si>
    <t xml:space="preserve">Proveer el Hosting de la infraestructura tecnológica (ambiente de desarrollo, ambiente de pruebas integrales, ambiente de aceptación y ambiente de producción) que dará soporte al Sistema de Gestión Presupuestaria de Planillas del Sector Público. </t>
  </si>
  <si>
    <t>Equipos del centro de datos, servidores, almacenamiento, ambientes de producción/desarrollo y contingencia, telecomunicación, etc.</t>
  </si>
  <si>
    <t>Licencias de Software especializadas necesarias para la operación de la infraestructura tecnológica (ambiente de desarrollo, ambiente de pruebas integrales, ambiente de aceptación y ambiente de producción) del SIGEP-SP y las licencias del aplicativo a adquirir. Se consideran los siguientes tipos de licencias; (ii) Licencia y soporte de base de datos; (ii) Licencia y soporte de la aplicación de software integrado que se adaptará al diseño funcional del proyecto (SIGEP-SP) y; (iii) Licencia y soporte del gestor de contenidos.</t>
  </si>
  <si>
    <t>1.3 Certificación de la calidad de los instrumentos del SIGEP-SP</t>
  </si>
  <si>
    <t>Consultoría para la preparación de los términos de referencia de la contratación de la certificación</t>
  </si>
  <si>
    <t>Certificación de la calidad de los artefactos generados durante la ejecución de las subactividades de Implementación y Despliegue y Mantenimiento Evolutivo del proyecto SIGEP-SP, lo que implica la revisión de los artefactos que se desarrollen durante dichas subactividades con el fin de asegurar un correcto funcionamiento del SIGEP-SP.</t>
  </si>
  <si>
    <t>1.4 Estrategia de gestión de cambio</t>
  </si>
  <si>
    <t>Consultoría para la preparación de los términos de referencia de la contratación de la gestión de cambio</t>
  </si>
  <si>
    <t>Diseñar e implementar la estrategia de gestión del cambio en las entidades del alcance del proyecto a fin de mitigar/reducir/eliminar la resistencia al cambio en los futuros usuarios del SIGEP-SP. Incluye las siguientes acciones mínimas: campañas de sensibilización y comunicación, identificación de actores, coordinación de estrategias de comunicación, medición de la satisfacción y diseño e implementación de acciones para lograr la utilización efectiva del SIGEP-SP.</t>
  </si>
  <si>
    <t xml:space="preserve">Componente 2 - Mejora de capacidades del servicio de información presupuestaria </t>
  </si>
  <si>
    <t>2.1 Programa de formación continua en gestión presupuestaria de ingresos y pensiones del sector público</t>
  </si>
  <si>
    <t>Consultorías para apoyar la ejecución del programa de capacitación</t>
  </si>
  <si>
    <t>Desarrollar los contenidos y los materiales para el dictado presencial de los módulos básico y especializado del programa de capacitación</t>
  </si>
  <si>
    <t>Ejecutar 77 ediciones  tanto para el modulo básico y modulo especializado para los operadores de las ORH de los niveles nacional y regional. Del mismo modo  27 ediciones para los operadores de las ORH del nivel local (Ver memoria de cálculo)</t>
  </si>
  <si>
    <t>Implementar en la plataforma de la Escuela Nacional de Administración Publica - ENAP (SERVIR) los contenidos que a ser desarrollados y haya obtenido la aprobación del MEF a los resultados de una edición piloto de dicha capacitación.</t>
  </si>
  <si>
    <t>El desarrollo de la modalidad virtual de los cursos de las áreas básica y especializada, a partir de los contenidos previamente desarrollados para las versiones presenciales de los mismos cursos y su habilitación en la plataforma virtual contratada para que puedan ser utilizados por los integrantes de la población objetivo</t>
  </si>
  <si>
    <t xml:space="preserve"> </t>
  </si>
  <si>
    <t>Equipos de Oficina</t>
  </si>
  <si>
    <t>Alquileres Oficina EE</t>
  </si>
  <si>
    <t>Gastos con viajes</t>
  </si>
  <si>
    <t>Administrativo</t>
  </si>
  <si>
    <t>Asesor Legal</t>
  </si>
  <si>
    <t>Especialista para el seguimiento COMP II</t>
  </si>
  <si>
    <t>Sectorista 1 UCCTF</t>
  </si>
  <si>
    <t>Sectorista 2 UCCTF</t>
  </si>
  <si>
    <t xml:space="preserve">Evaluación Final </t>
  </si>
  <si>
    <t>Auditorías</t>
  </si>
  <si>
    <t>Apoyo a la ejecución</t>
  </si>
  <si>
    <t>Pluriannual Execution Plan (PEP)</t>
  </si>
  <si>
    <t>Project Total (US$)</t>
  </si>
  <si>
    <t>Total producto</t>
  </si>
  <si>
    <t>Año 1</t>
  </si>
  <si>
    <t>Año 2</t>
  </si>
  <si>
    <t>Año 3</t>
  </si>
  <si>
    <t>Año 4</t>
  </si>
  <si>
    <t>Año 5</t>
  </si>
  <si>
    <t>Año 6</t>
  </si>
  <si>
    <t>Total Prtoducto</t>
  </si>
  <si>
    <t>Otros gastos Equipo Ejecutor.</t>
  </si>
  <si>
    <t>Cuadro 2.1. Presupuesto del Proyecto (US$)</t>
  </si>
  <si>
    <t>AL</t>
  </si>
  <si>
    <t>TOTAL</t>
  </si>
  <si>
    <t>1.    Costos Directos</t>
  </si>
  <si>
    <t>3. Gestión Administrativa</t>
  </si>
  <si>
    <t>Cuadro 2.2 Programación de Desembolsos (US$)</t>
  </si>
  <si>
    <t>Fuente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</si>
  <si>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</si>
  <si>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</si>
  <si>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</si>
  <si>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</si>
  <si>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</si>
  <si>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</si>
  <si>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</si>
  <si>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( 3/5/2019) :</t>
  </si>
  <si>
    <t>3. Tipos de Gasto</t>
  </si>
  <si>
    <t>Categoría de Adquisición</t>
  </si>
  <si>
    <t>Monto Total Proyecto (Incluyendo Contraparte)</t>
  </si>
  <si>
    <t xml:space="preserve">Consultoría firmas </t>
  </si>
  <si>
    <t>Servicios de No Consultoría</t>
  </si>
  <si>
    <t>4. Componentes</t>
  </si>
  <si>
    <t>Componente de Inversión</t>
  </si>
  <si>
    <t>Plan de Adquisiciones</t>
  </si>
  <si>
    <t>Actividad:</t>
  </si>
  <si>
    <r>
      <t xml:space="preserve">Método de Adquisición
</t>
    </r>
    <r>
      <rPr>
        <i/>
        <sz val="10"/>
        <color indexed="9"/>
        <rFont val="Arial"/>
        <family val="2"/>
      </rPr>
      <t>(Seleccionar una de las opciones)</t>
    </r>
    <r>
      <rPr>
        <sz val="10"/>
        <color indexed="9"/>
        <rFont val="Arial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</si>
  <si>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</si>
  <si>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</si>
  <si>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</si>
  <si>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</si>
  <si>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Arial"/>
        <family val="2"/>
      </rPr>
      <t>(Seleccionar una de las opciones)</t>
    </r>
    <r>
      <rPr>
        <sz val="10"/>
        <color indexed="9"/>
        <rFont val="Arial"/>
        <family val="2"/>
      </rPr>
      <t>:</t>
    </r>
  </si>
  <si>
    <t>Fechas</t>
  </si>
  <si>
    <r>
      <t>Comentarios</t>
    </r>
    <r>
      <rPr>
        <sz val="10"/>
        <color indexed="9"/>
        <rFont val="Arial"/>
        <family val="2"/>
      </rPr>
      <t xml:space="preserve"> - para UCS incluir método de selección</t>
    </r>
  </si>
  <si>
    <t>Contrato Terminado</t>
  </si>
  <si>
    <t>Monto Estimado en US$:</t>
  </si>
  <si>
    <t>Aviso Especial de Adquisiciones</t>
  </si>
  <si>
    <t>Firma del Contrato</t>
  </si>
  <si>
    <t>Contrato En Ejecución</t>
  </si>
  <si>
    <t>Comparación de Precios </t>
  </si>
  <si>
    <t>Ex-Ante</t>
  </si>
  <si>
    <t>Licitación Pública Nacional </t>
  </si>
  <si>
    <t>Contratación Directa </t>
  </si>
  <si>
    <t>Adm</t>
  </si>
  <si>
    <t>Sistema Nacional</t>
  </si>
  <si>
    <t>Licitación Internacional Limitada </t>
  </si>
  <si>
    <t>Licitación Pública Internacional con Precalificación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</si>
  <si>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</si>
  <si>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</si>
  <si>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>Comentarios</t>
    </r>
    <r>
      <rPr>
        <sz val="10"/>
        <color indexed="9"/>
        <rFont val="Calibri"/>
        <family val="2"/>
      </rPr>
      <t xml:space="preserve"> - para UCS incluir método de selección</t>
    </r>
  </si>
  <si>
    <t>Licitación Pública Internacional en 2 etapas </t>
  </si>
  <si>
    <t>Documento de Licitación</t>
  </si>
  <si>
    <t>Licitación Pública Internacional por Lotes </t>
  </si>
  <si>
    <t>Selección Basada en la Calidad y Costo </t>
  </si>
  <si>
    <t>Selección Basada en la Calidad </t>
  </si>
  <si>
    <t>Comparación de Calificaciones</t>
  </si>
  <si>
    <t>Firmas consultoras</t>
  </si>
  <si>
    <t>Selección Basado en Presupuesto Fijo </t>
  </si>
  <si>
    <t>Servicios diferentes de consultorías</t>
  </si>
  <si>
    <t>adm</t>
  </si>
  <si>
    <t>Llave en mano</t>
  </si>
  <si>
    <t>Bienes </t>
  </si>
  <si>
    <t>Precios Unitarios</t>
  </si>
  <si>
    <t>Total General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</si>
  <si>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</si>
  <si>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</si>
  <si>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</si>
  <si>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</si>
  <si>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</si>
  <si>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Obras 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</si>
  <si>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</si>
  <si>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</si>
  <si>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</si>
  <si>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</si>
  <si>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Servicios de No Consultoría </t>
  </si>
  <si>
    <t>Solicitud de Propuestas y Términos de Referencia</t>
  </si>
  <si>
    <t>Consultoría - Firmas </t>
  </si>
  <si>
    <t>Términos de Referencia</t>
  </si>
  <si>
    <t>Suma global</t>
  </si>
  <si>
    <t>Tiempo Trabajado</t>
  </si>
  <si>
    <t>3CV</t>
  </si>
  <si>
    <t>Proyecto SUNAT PE-L1239</t>
  </si>
  <si>
    <t>Plan de Adquisiciones  2019-2023</t>
  </si>
  <si>
    <t xml:space="preserve">Fechas </t>
  </si>
  <si>
    <t xml:space="preserve">N. </t>
  </si>
  <si>
    <t>Adquisiciones / actividades</t>
  </si>
  <si>
    <t>Lote / Proceso No</t>
  </si>
  <si>
    <t>Método de Revisión</t>
  </si>
  <si>
    <t>Monto IDB</t>
  </si>
  <si>
    <t>Monto  Contraparte</t>
  </si>
  <si>
    <t>Monto Total US$</t>
  </si>
  <si>
    <t>Componente / Producto</t>
  </si>
  <si>
    <t>Agencia Ejecutora</t>
  </si>
  <si>
    <t>Método de Adquisición
/Contratacion</t>
  </si>
  <si>
    <t>Fecha de Publicación</t>
  </si>
  <si>
    <t>Termino del Contrato</t>
  </si>
  <si>
    <t>Descripcion</t>
  </si>
  <si>
    <t>CONSULTORIAS INDIVIDUALES</t>
  </si>
  <si>
    <t>Sub Total US$</t>
  </si>
  <si>
    <t>FIRMAS CONSULTORAS</t>
  </si>
  <si>
    <t>N/A</t>
  </si>
  <si>
    <t>Exante</t>
  </si>
  <si>
    <t>UCP3-SUNAT</t>
  </si>
  <si>
    <t>QCBS</t>
  </si>
  <si>
    <t>BIENES</t>
  </si>
  <si>
    <t>ICB</t>
  </si>
  <si>
    <t>OTROS SERVICIOS DIFERENTES A CONSULTORÍA</t>
  </si>
  <si>
    <t>OBRAS</t>
  </si>
  <si>
    <t>TOTAL US$</t>
  </si>
  <si>
    <t>Tipo</t>
  </si>
  <si>
    <t>Codigo</t>
  </si>
  <si>
    <t>Categoría</t>
  </si>
  <si>
    <t>Unidad</t>
  </si>
  <si>
    <t>Costos S/</t>
  </si>
  <si>
    <t>Costo US$</t>
  </si>
  <si>
    <t>Tipo cambio</t>
  </si>
  <si>
    <t>Factor de ajuste</t>
  </si>
  <si>
    <t>Nombre</t>
  </si>
  <si>
    <t>Input S/</t>
  </si>
  <si>
    <t>CI</t>
  </si>
  <si>
    <t>Jefe de proyecto</t>
  </si>
  <si>
    <t>Nacional</t>
  </si>
  <si>
    <t>HM</t>
  </si>
  <si>
    <t>CNC1</t>
  </si>
  <si>
    <t>Consultor individual senior</t>
  </si>
  <si>
    <t>CNS1</t>
  </si>
  <si>
    <t>Consultor individual</t>
  </si>
  <si>
    <t>CNN1</t>
  </si>
  <si>
    <t>Consultor junior (asitente)</t>
  </si>
  <si>
    <t>CNJ1</t>
  </si>
  <si>
    <t>Consultor internacional</t>
  </si>
  <si>
    <t>Internacional</t>
  </si>
  <si>
    <t>HD</t>
  </si>
  <si>
    <t>CIN1</t>
  </si>
  <si>
    <t>Firmas</t>
  </si>
  <si>
    <t>Servicio de asistencia de implantación</t>
  </si>
  <si>
    <t>Mes</t>
  </si>
  <si>
    <t>FSA1</t>
  </si>
  <si>
    <t>Servicios informaticos por usuario</t>
  </si>
  <si>
    <t>año</t>
  </si>
  <si>
    <t>FSI1</t>
  </si>
  <si>
    <t>Desarrollo y servicios informaticos por usuario</t>
  </si>
  <si>
    <t>Internacioanl</t>
  </si>
  <si>
    <t>FSI2</t>
  </si>
  <si>
    <t>Capacitación tipo 1</t>
  </si>
  <si>
    <t>Participante</t>
  </si>
  <si>
    <t>CAP1</t>
  </si>
  <si>
    <t>Entrenamiento tipo 1</t>
  </si>
  <si>
    <t>ENT1</t>
  </si>
  <si>
    <t>Especialización tipo 1</t>
  </si>
  <si>
    <t>ESP1</t>
  </si>
  <si>
    <t>Global</t>
  </si>
  <si>
    <t>DTRAZ</t>
  </si>
  <si>
    <t>Seguimiento personal - desarrollo software</t>
  </si>
  <si>
    <t>DSEGRRHH</t>
  </si>
  <si>
    <t>Pruebas de diagnóstico básica</t>
  </si>
  <si>
    <t>Prueba</t>
  </si>
  <si>
    <t>DXP1</t>
  </si>
  <si>
    <t>Equipos</t>
  </si>
  <si>
    <t>Computadora personal profesional</t>
  </si>
  <si>
    <t>Un</t>
  </si>
  <si>
    <t>EO01A</t>
  </si>
  <si>
    <t>Computadora personal laptop aula</t>
  </si>
  <si>
    <t>EO02A</t>
  </si>
  <si>
    <t>Equipos multimedia</t>
  </si>
  <si>
    <t>EO01B</t>
  </si>
  <si>
    <t>Equiipamiento no intrusivo A</t>
  </si>
  <si>
    <t>Set</t>
  </si>
  <si>
    <t>ENI1A</t>
  </si>
  <si>
    <t>Equiipamiento no intrusivo B</t>
  </si>
  <si>
    <t>ENI1B</t>
  </si>
  <si>
    <t>Equipamiento trazabilidad A</t>
  </si>
  <si>
    <t>ETRAZ</t>
  </si>
  <si>
    <t>Equipo de trazabilidad - X1</t>
  </si>
  <si>
    <t>ETRAZ_X1A</t>
  </si>
  <si>
    <t>Equipo de trazabilidad - X2</t>
  </si>
  <si>
    <t>ETRAZ_X2A</t>
  </si>
  <si>
    <t>Equipamiento Centro de Control A</t>
  </si>
  <si>
    <t>ECC</t>
  </si>
  <si>
    <t>Software</t>
  </si>
  <si>
    <t>Trazabilidad - Software usuario - Y1A</t>
  </si>
  <si>
    <t>STRAZ_Y1A</t>
  </si>
  <si>
    <t>Trazabilidad - Software usuario - Y1B</t>
  </si>
  <si>
    <t>STRAZ_Y1B</t>
  </si>
  <si>
    <t>Trazabilidad - Software usuario - Y2A</t>
  </si>
  <si>
    <t>STRAZ_Y2A</t>
  </si>
  <si>
    <t>Trazabilidad - Software usuario - Y3A</t>
  </si>
  <si>
    <t>STRAZ_Y3A</t>
  </si>
  <si>
    <t>Trazabilidad - Software usuario - Y3B</t>
  </si>
  <si>
    <t>STRAZ_Y3B</t>
  </si>
  <si>
    <t>Trazabilidad - Software usuario - X2</t>
  </si>
  <si>
    <t>STRAZ_X2A</t>
  </si>
  <si>
    <t>SCMV</t>
  </si>
  <si>
    <t>Software Webex</t>
  </si>
  <si>
    <t>SWebex</t>
  </si>
  <si>
    <t>Software Libre</t>
  </si>
  <si>
    <t>Slibre</t>
  </si>
  <si>
    <t>Impresoras</t>
  </si>
  <si>
    <t>EI01A</t>
  </si>
  <si>
    <t>Pantallas</t>
  </si>
  <si>
    <t>EI02A</t>
  </si>
  <si>
    <t>Equipo básico de aula</t>
  </si>
  <si>
    <t>EIN01</t>
  </si>
  <si>
    <t>Equipo básico de laboratorio</t>
  </si>
  <si>
    <t>EIN02</t>
  </si>
  <si>
    <t>Mobiliario</t>
  </si>
  <si>
    <t>Estaciones de trabajo</t>
  </si>
  <si>
    <t>MO01A</t>
  </si>
  <si>
    <t>Servicios</t>
  </si>
  <si>
    <t>Alquiler de oficinas equipadas</t>
  </si>
  <si>
    <t>m2/año</t>
  </si>
  <si>
    <t>SI01A</t>
  </si>
  <si>
    <t>Estacionamiento</t>
  </si>
  <si>
    <t>Un/año</t>
  </si>
  <si>
    <t>SI02A</t>
  </si>
  <si>
    <t>Talleres reunión</t>
  </si>
  <si>
    <t>Día</t>
  </si>
  <si>
    <t>ST01A</t>
  </si>
  <si>
    <t>Taller implantación</t>
  </si>
  <si>
    <t>Persona</t>
  </si>
  <si>
    <t>ST02A</t>
  </si>
  <si>
    <t>Talleres de implantación masivos</t>
  </si>
  <si>
    <t>ST02B</t>
  </si>
  <si>
    <t>Talleres concentrados</t>
  </si>
  <si>
    <t>ST03A</t>
  </si>
  <si>
    <t>Curso IAT</t>
  </si>
  <si>
    <t>Curso_IAT</t>
  </si>
  <si>
    <t>Taller IAT</t>
  </si>
  <si>
    <t>Taller_IAT</t>
  </si>
  <si>
    <t>Diplomado curso maestría IAT</t>
  </si>
  <si>
    <t>PG_IAT</t>
  </si>
  <si>
    <t>Eventos IAT</t>
  </si>
  <si>
    <t>Evento_IAT</t>
  </si>
  <si>
    <t>Pasantías</t>
  </si>
  <si>
    <t>Pasantia_IAT</t>
  </si>
  <si>
    <t>Pasaje nacional</t>
  </si>
  <si>
    <t>Pasaje1</t>
  </si>
  <si>
    <t>Viáticos locales</t>
  </si>
  <si>
    <t>Viaticos1</t>
  </si>
  <si>
    <t>Pasaje internacional</t>
  </si>
  <si>
    <t>Pasaje2</t>
  </si>
  <si>
    <t>Viáticos internacional local</t>
  </si>
  <si>
    <t>Viaticos2</t>
  </si>
  <si>
    <t>Licencia tipo 1</t>
  </si>
  <si>
    <t>Licencia</t>
  </si>
  <si>
    <t>Licencia1</t>
  </si>
  <si>
    <t>Base de datos 1</t>
  </si>
  <si>
    <t>BD1A</t>
  </si>
  <si>
    <t>Servicios UEP</t>
  </si>
  <si>
    <t>SERUE1</t>
  </si>
  <si>
    <t>Servicios varios</t>
  </si>
  <si>
    <t>Mejoramiento basico de instalaciones</t>
  </si>
  <si>
    <t>m2</t>
  </si>
  <si>
    <t>MBI01A</t>
  </si>
  <si>
    <t>Instalación equipo de trazabilidad</t>
  </si>
  <si>
    <t>Unididad</t>
  </si>
  <si>
    <t>INST01A</t>
  </si>
  <si>
    <t>Instalación equipo de Centro de Control</t>
  </si>
  <si>
    <t>INST02A</t>
  </si>
  <si>
    <t>Materiales</t>
  </si>
  <si>
    <t>Materiales unidad ejecutora</t>
  </si>
  <si>
    <t>Global/mes</t>
  </si>
  <si>
    <t>INS01A</t>
  </si>
  <si>
    <t>Gastos pre operativos</t>
  </si>
  <si>
    <t>Gastos preoperativos UEP</t>
  </si>
  <si>
    <t>GPOUE1</t>
  </si>
  <si>
    <t>AuditoriaUE</t>
  </si>
  <si>
    <t>Sección 7 - Resultados</t>
  </si>
  <si>
    <t>Initial Year</t>
  </si>
  <si>
    <t>Year</t>
  </si>
  <si>
    <t>Year_Clc</t>
  </si>
  <si>
    <t>Period</t>
  </si>
  <si>
    <t>BENEFICIOS</t>
  </si>
  <si>
    <t>Beneficio por recaudación incremental (Miles S/.)</t>
  </si>
  <si>
    <t>COSTOS</t>
  </si>
  <si>
    <t>Inversión  (Miles S/)</t>
  </si>
  <si>
    <t>Inversión inicial  (Miles S/)</t>
  </si>
  <si>
    <t>Inversión reposición (Miles S/)</t>
  </si>
  <si>
    <t>Operación mantenimiento incremental (Miles S/)</t>
  </si>
  <si>
    <t>Operación (Miles S/)</t>
  </si>
  <si>
    <t>Mantenimiento (Miles S/)</t>
  </si>
  <si>
    <t>FLUJO CAJA SOCIAL</t>
  </si>
  <si>
    <t>VAN BN (Miles S/)</t>
  </si>
  <si>
    <t>INVERSIÓN TOTAL (Inicial + Reposición)</t>
  </si>
  <si>
    <t>#</t>
  </si>
  <si>
    <t>Componente</t>
  </si>
  <si>
    <t>Monto en miles de Soles (S/ x 1000)</t>
  </si>
  <si>
    <t>Total S/</t>
  </si>
  <si>
    <t>INVERSIÓN INICIAL</t>
  </si>
  <si>
    <t>INVERSIÓN REPOSICIÓN</t>
  </si>
  <si>
    <t>INVERSIÓN INICIAL (FICHA)</t>
  </si>
  <si>
    <t>INVERSIÓN REPOSICIÓN (FICHA)</t>
  </si>
  <si>
    <t>Mejora del modelo de gobernanza institucional en SUNAT</t>
  </si>
  <si>
    <t xml:space="preserve">Mejora del control y cumplimiento tributario y aduanero </t>
  </si>
  <si>
    <t>Fortalecimiento de la inteligencia fiscal y de la gestión del riesgo</t>
  </si>
  <si>
    <t>Administración del proyecto</t>
  </si>
  <si>
    <t>POD</t>
  </si>
  <si>
    <t>RESUMEN DE INVERSIONES BASE</t>
  </si>
  <si>
    <t>Elige Alternativa</t>
  </si>
  <si>
    <t>Muestra Alternativa</t>
  </si>
  <si>
    <t>Muestra alternativa</t>
  </si>
  <si>
    <t>Precios privados</t>
  </si>
  <si>
    <t>Precios sociales</t>
  </si>
  <si>
    <t>Descripción componentes / sub componentes / actividades</t>
  </si>
  <si>
    <t>Monto por periodo  (S/.)</t>
  </si>
  <si>
    <t>%**</t>
  </si>
  <si>
    <t>Input</t>
  </si>
  <si>
    <t>Inversión Inicial por alternativa  (S/.)</t>
  </si>
  <si>
    <t>Distribución inversión inicial</t>
  </si>
  <si>
    <t>Factor corrección*</t>
  </si>
  <si>
    <t>Nota:</t>
  </si>
  <si>
    <t>* factores de correccion ponderados</t>
  </si>
  <si>
    <t>** porcentajes a precios de mercado</t>
  </si>
  <si>
    <t>OPERACIÓN MANTENIMIENTO SIN PROYECTO</t>
  </si>
  <si>
    <t>Monto en millones de Soles (S/ x 1000 000)</t>
  </si>
  <si>
    <t>Operación</t>
  </si>
  <si>
    <t>Personal</t>
  </si>
  <si>
    <t>Operación de UPS</t>
  </si>
  <si>
    <t>Mantenimiento</t>
  </si>
  <si>
    <t>Mantenimiento de UPS</t>
  </si>
  <si>
    <t>OPERACIÓN MANTENIMIENTO CON PROYECTO</t>
  </si>
  <si>
    <t>Mantenimiento por sistemas del proyecto</t>
  </si>
  <si>
    <t>OPERACIÓN MANTENIMIENTO INCREMENTAL</t>
  </si>
  <si>
    <t>VA Costo O&amp;M S/</t>
  </si>
  <si>
    <t>Millones</t>
  </si>
  <si>
    <t>MANTENIMIENTO DE LA INVERSIÓN POR EL PROYECTO</t>
  </si>
  <si>
    <t>COSTOS TOTALES</t>
  </si>
  <si>
    <t>Monto en miles de Soles (S/ x 1000 000)</t>
  </si>
  <si>
    <t>Inversión inicial</t>
  </si>
  <si>
    <t>Inversión por reposición</t>
  </si>
  <si>
    <t>Total inversión</t>
  </si>
  <si>
    <t>Costos de O/M Incremental</t>
  </si>
  <si>
    <t>CostoTotal</t>
  </si>
  <si>
    <t>VA Costo Total S/</t>
  </si>
  <si>
    <t>BENEFICIOS POR RECAUDACIÓN INCREMENTAL</t>
  </si>
  <si>
    <t>Recaudación incremental</t>
  </si>
  <si>
    <t>Recaudación a inversión</t>
  </si>
  <si>
    <t>Inversión publica efectiva</t>
  </si>
  <si>
    <t>Total beneficios</t>
  </si>
  <si>
    <t>VA Beneficios S/</t>
  </si>
  <si>
    <t>FLUJO DE CAJA SOCIAL</t>
  </si>
  <si>
    <t>I</t>
  </si>
  <si>
    <t>Beneficios</t>
  </si>
  <si>
    <t>II</t>
  </si>
  <si>
    <t>2.1.1</t>
  </si>
  <si>
    <t>2.1.2</t>
  </si>
  <si>
    <t>Flujo de caja social</t>
  </si>
  <si>
    <t>VA Beneficios netos S/</t>
  </si>
  <si>
    <t>Resumen de resultados del caso base</t>
  </si>
  <si>
    <t>Indicadores</t>
  </si>
  <si>
    <t>Alternativa</t>
  </si>
  <si>
    <t>Resumen de inversiones por alternativa</t>
  </si>
  <si>
    <t>Resultado</t>
  </si>
  <si>
    <t>Resumen de costos por alternativa</t>
  </si>
  <si>
    <t>Resumen de costos O&amp;M por alternativa</t>
  </si>
  <si>
    <t>Resumen de beneficios por alternativa</t>
  </si>
  <si>
    <t>Resumen de beneficios netos por alternativa</t>
  </si>
  <si>
    <t>ALTERNATIVA 1</t>
  </si>
  <si>
    <t>Output:</t>
  </si>
  <si>
    <t>VA Beneficios Netos (Millones S/) - 15 años</t>
  </si>
  <si>
    <t>Base Value:</t>
  </si>
  <si>
    <t>Row</t>
  </si>
  <si>
    <t>Valor base</t>
  </si>
  <si>
    <t>Valor bajo</t>
  </si>
  <si>
    <t>Valor alto</t>
  </si>
  <si>
    <t>Variación</t>
  </si>
  <si>
    <t>Output</t>
  </si>
  <si>
    <t>explicada</t>
  </si>
  <si>
    <t>x variable</t>
  </si>
  <si>
    <t>Variación de ajuste de eficiencia Recurso Humano (Óptimo)</t>
  </si>
  <si>
    <t>Recursos humanos SUNAT por PEA inicial</t>
  </si>
  <si>
    <t>Recursos humanos SUNAT por PEA míniimo</t>
  </si>
  <si>
    <t>Proporción de PEA inicial</t>
  </si>
  <si>
    <t>Recaudación ideal / PBI</t>
  </si>
  <si>
    <t>PEA Máxima</t>
  </si>
  <si>
    <t>Proporción de inversión efectiva</t>
  </si>
  <si>
    <t>Tasa de retorno de la inversión pública</t>
  </si>
  <si>
    <t>Inversión 3</t>
  </si>
  <si>
    <t>PBI pc variación</t>
  </si>
  <si>
    <t>Tasa de crecimiento inicial</t>
  </si>
  <si>
    <t>Proporción recaudación destinada a inversión</t>
  </si>
  <si>
    <t>Variación de PEA</t>
  </si>
  <si>
    <t>Inversión 1</t>
  </si>
  <si>
    <t>Inversión 2</t>
  </si>
  <si>
    <t>Costo efectividad (Millones S/. X nivel de efectividad)</t>
  </si>
  <si>
    <t>Promedio de costo SUNAT/Recaudación - 15 años</t>
  </si>
  <si>
    <t>ALTERNATIVA 2</t>
  </si>
  <si>
    <t>ALTERNATIVA 3</t>
  </si>
  <si>
    <t>Valor actual de beneficios netos (Millones S/.)</t>
  </si>
  <si>
    <t>Description</t>
  </si>
  <si>
    <t>VA Beneficios netos</t>
  </si>
  <si>
    <t>RESUMEN DE ANALSIS DE RIESGO</t>
  </si>
  <si>
    <t>Alt</t>
  </si>
  <si>
    <t xml:space="preserve">Valor </t>
  </si>
  <si>
    <t>Valor</t>
  </si>
  <si>
    <t>Distribución de la variable</t>
  </si>
  <si>
    <t>variable de resultado</t>
  </si>
  <si>
    <t>base</t>
  </si>
  <si>
    <t>esperado</t>
  </si>
  <si>
    <t>Mínimo</t>
  </si>
  <si>
    <t>Máximo</t>
  </si>
  <si>
    <t>Diferencia entre recaudación ideal y con proyecto (%) - en año 15</t>
  </si>
  <si>
    <t>Recaudación / PBI (%) - año 15</t>
  </si>
  <si>
    <t>Número de trabajadores / PEA (Miles)  - año 15</t>
  </si>
  <si>
    <t>Nivel de servicio UPS (%)  - año 15</t>
  </si>
  <si>
    <t>Recaudación (Miles de Millones S/)  - año 15</t>
  </si>
  <si>
    <t>Costo operativo SUNAT/Recaudación (%)  - año 15</t>
  </si>
  <si>
    <t>RESUMEN DE INVERSIONES</t>
  </si>
  <si>
    <t>Tiempo preparación (meses)</t>
  </si>
  <si>
    <t>Tiempo adq/contrata (meses)</t>
  </si>
  <si>
    <t>Tiempo (Meses)</t>
  </si>
  <si>
    <t>Periodo 0</t>
  </si>
  <si>
    <t>Periodo 1</t>
  </si>
  <si>
    <t>Periodo 2</t>
  </si>
  <si>
    <t>Periodo 3</t>
  </si>
  <si>
    <t>Periodo 4</t>
  </si>
  <si>
    <t>MARCO LOGICO</t>
  </si>
  <si>
    <t>OBJETIVO</t>
  </si>
  <si>
    <t>INDICADORES OBJETIVAMENTE VERIFICABLES</t>
  </si>
  <si>
    <t>Medios de verificación</t>
  </si>
  <si>
    <t>Supuestos</t>
  </si>
  <si>
    <t>Línea Base</t>
  </si>
  <si>
    <t>Periodo</t>
  </si>
  <si>
    <t>Meta</t>
  </si>
  <si>
    <t>FIN</t>
  </si>
  <si>
    <t>Diferencia entre recaudación ideal y con proyecto.</t>
  </si>
  <si>
    <t>Estudios cuantitativos / cualitativos</t>
  </si>
  <si>
    <t>Ver marco lógico</t>
  </si>
  <si>
    <t>Lograr los resultados tributarios y aduaneros ajustados al MMM</t>
  </si>
  <si>
    <t>Recaudación / PBI</t>
  </si>
  <si>
    <t>PROPOSITO</t>
  </si>
  <si>
    <t>Mejorar la capacidad de la SUNAT para la gestión tributaria y aduanera orientada a la transformación digital.</t>
  </si>
  <si>
    <t>Número de trabajadores PEA</t>
  </si>
  <si>
    <t>Miles</t>
  </si>
  <si>
    <t>Documentos de gestión de procesos</t>
  </si>
  <si>
    <t>Nivel de servicio UPS</t>
  </si>
  <si>
    <t>Informes operativos</t>
  </si>
  <si>
    <t>Recaudación</t>
  </si>
  <si>
    <t>Miles de millones</t>
  </si>
  <si>
    <t>Costo operativo SUNAT/Recaudación</t>
  </si>
  <si>
    <t>PRODUCTOS</t>
  </si>
  <si>
    <t>Gobernanza institucional</t>
  </si>
  <si>
    <t>Cultura organizacional</t>
  </si>
  <si>
    <t>Informe de proyecto</t>
  </si>
  <si>
    <t>Capacidad de RRHH</t>
  </si>
  <si>
    <t>Plan recambio generacional</t>
  </si>
  <si>
    <t>Plan</t>
  </si>
  <si>
    <t>Modelo de estión estratégica</t>
  </si>
  <si>
    <t>Organización fortalecida</t>
  </si>
  <si>
    <t>Control y cumplimiento tributario y aduanero</t>
  </si>
  <si>
    <t>Gobierno de información implementado</t>
  </si>
  <si>
    <t>Procesos analíticos</t>
  </si>
  <si>
    <t>Proceso</t>
  </si>
  <si>
    <t>Modelo de fiscalización masiva</t>
  </si>
  <si>
    <t>Modelo</t>
  </si>
  <si>
    <t>Inteligencia fiscal y gestión de riesgos</t>
  </si>
  <si>
    <t>Arquitectura de procesos</t>
  </si>
  <si>
    <t>Sistema implementado / modernizado</t>
  </si>
  <si>
    <t>Normas actualizadas</t>
  </si>
  <si>
    <t>Equipamiento mayor</t>
  </si>
  <si>
    <t>Especialización técnica</t>
  </si>
  <si>
    <t>Gestión de proyectos</t>
  </si>
  <si>
    <t>Unidad ejecutora implementada</t>
  </si>
  <si>
    <t>UE</t>
  </si>
  <si>
    <t>Gestión técnica (Estudios y supervisión)</t>
  </si>
  <si>
    <t>Estudios de ingenierá de detalle</t>
  </si>
  <si>
    <t>Estudios</t>
  </si>
  <si>
    <t>Supervisores ejecutadas</t>
  </si>
  <si>
    <t>Estudios de evaluación</t>
  </si>
  <si>
    <t>ACTIVIDADES</t>
  </si>
  <si>
    <t xml:space="preserve"> S/</t>
  </si>
  <si>
    <t>Mejora del control y cumplimiento tributario y aduanero</t>
  </si>
  <si>
    <t>Sistemas innovados</t>
  </si>
  <si>
    <t>Mejoramiento de la inteligencia fiscal y de la gestión de riesgo</t>
  </si>
  <si>
    <t>Capacidad analítica</t>
  </si>
  <si>
    <t>Unidad gestora implementada</t>
  </si>
  <si>
    <t>Estudios y supervision ejecutados</t>
  </si>
  <si>
    <t xml:space="preserve"> S/.</t>
  </si>
  <si>
    <t>Total Inversión inicial</t>
  </si>
  <si>
    <t>USO DE MEDIOS</t>
  </si>
  <si>
    <t>Servicio i</t>
  </si>
  <si>
    <t>Servicio ij</t>
  </si>
  <si>
    <t>UPS (UsoMed_U[1,2]_M)</t>
  </si>
  <si>
    <t>Repetición del uso en el periodo</t>
  </si>
  <si>
    <t>Intensidad de uso del medio en el periodo por servicio</t>
  </si>
  <si>
    <t>CSC</t>
  </si>
  <si>
    <t>OZ</t>
  </si>
  <si>
    <t>IR</t>
  </si>
  <si>
    <t>IA/AA</t>
  </si>
  <si>
    <t>IAyTI</t>
  </si>
  <si>
    <t>PCB</t>
  </si>
  <si>
    <t>PCA</t>
  </si>
  <si>
    <t>ALM</t>
  </si>
  <si>
    <t>SI</t>
  </si>
  <si>
    <t>TIC</t>
  </si>
  <si>
    <t>CCRI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</si>
  <si>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</si>
  <si>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</si>
  <si>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</si>
  <si>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</si>
  <si>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</si>
  <si>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</si>
  <si>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</si>
  <si>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</si>
  <si>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</si>
  <si>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</si>
  <si>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</si>
  <si>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</si>
  <si>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Min</t>
  </si>
  <si>
    <t>Base</t>
  </si>
  <si>
    <t>Max</t>
  </si>
  <si>
    <t>Medios</t>
  </si>
  <si>
    <t>Abrev</t>
  </si>
  <si>
    <t>UPS 01</t>
  </si>
  <si>
    <t>Centros de Servicios al Contribuyente – CSC</t>
  </si>
  <si>
    <t>UPS 02</t>
  </si>
  <si>
    <t>Oficina Zonal - OZ</t>
  </si>
  <si>
    <t>UPS 03</t>
  </si>
  <si>
    <t>Intendencia Regional - IR</t>
  </si>
  <si>
    <t>UPS 04</t>
  </si>
  <si>
    <t>Intendencia de Aduanas - IA / Agencia Aduanera - AA</t>
  </si>
  <si>
    <t>UPS 05</t>
  </si>
  <si>
    <t>Intendencia de Aduanas y Tributos Internos</t>
  </si>
  <si>
    <t>UPS 06</t>
  </si>
  <si>
    <t>Puestos de Control de Bienes  (Tributos Internos)– PCB 1/</t>
  </si>
  <si>
    <t>UPS 07</t>
  </si>
  <si>
    <t>Puestos de Control  Aduanero (mercancías) – PCA</t>
  </si>
  <si>
    <t>UPS 08</t>
  </si>
  <si>
    <t>Almacenes de bienes y mercancías</t>
  </si>
  <si>
    <t>UPS 09</t>
  </si>
  <si>
    <t>Sedes institucionales</t>
  </si>
  <si>
    <t>UPS 10</t>
  </si>
  <si>
    <t>Sistemas de Tecnologías de Información y Comunicación - TIC</t>
  </si>
  <si>
    <t>UPS 11</t>
  </si>
  <si>
    <t>Centro de capacitación, entrenamiento e inducción.</t>
  </si>
  <si>
    <t>Otros 6</t>
  </si>
  <si>
    <t>Otros 7</t>
  </si>
  <si>
    <t>COSTOS DETALLADOS DE EQUIPAMIENTO Y SOFTWARE  (Precios incluyen IGV)</t>
  </si>
  <si>
    <t>1.2.2.A</t>
  </si>
  <si>
    <t>Equipamiento no intrusivo aduana</t>
  </si>
  <si>
    <t>Input Precio US$</t>
  </si>
  <si>
    <t>Input Cantidad</t>
  </si>
  <si>
    <t>Total US$ inc IGV</t>
  </si>
  <si>
    <t>Total S/ inc IGV</t>
  </si>
  <si>
    <t>Cámaras térmicas</t>
  </si>
  <si>
    <t>Camara</t>
  </si>
  <si>
    <t>Sistema analítico de control de paso de unidades vehiculares - OCR y GRE</t>
  </si>
  <si>
    <t>Sistema</t>
  </si>
  <si>
    <t>Centro Nacional de Control (Inteligencia artificial predicción y automatización de información)</t>
  </si>
  <si>
    <t>Equipamiento</t>
  </si>
  <si>
    <t>Software y analítica para análisis de imágenes satelitales</t>
  </si>
  <si>
    <t>Drones</t>
  </si>
  <si>
    <t>Kit anticontrabando para control aduanero</t>
  </si>
  <si>
    <t>Escaner fijo para equipaje para control aduanero</t>
  </si>
  <si>
    <t>Body Scan</t>
  </si>
  <si>
    <t>Equipos varios sistema no intrusivo</t>
  </si>
  <si>
    <t>Balanzas electrónicas</t>
  </si>
  <si>
    <t>1.2.2.B</t>
  </si>
  <si>
    <t>Equipamiento no intrusivo aduana (Escaners)</t>
  </si>
  <si>
    <t>Escaner movil restodispersión - Backscatter</t>
  </si>
  <si>
    <t>Escáner de alta energía</t>
  </si>
  <si>
    <t>1.4.1.A</t>
  </si>
  <si>
    <t>Trazabilidad - Equipamiento</t>
  </si>
  <si>
    <t>Servicio camaras para placas</t>
  </si>
  <si>
    <t>Incluye modulos de control, las cámaras, su instalación, soporte y mantenimiento 3 años para 208 cámaras</t>
  </si>
  <si>
    <t>X2</t>
  </si>
  <si>
    <t>Servicio camaras para reconocimiento facial</t>
  </si>
  <si>
    <t>Incluye modulos de control, las cámaras, su instalación, soporte y mantenimiento 3 años para 40 cámaras</t>
  </si>
  <si>
    <t>Servicio antenas para placas</t>
  </si>
  <si>
    <t>Incluye modulos de control, las antenas, su instalación, soporte y mantenimiento 3 años para 208 antenas</t>
  </si>
  <si>
    <t>Densimetros. 28 unidades incluye mantenimiento por 3 años</t>
  </si>
  <si>
    <t>Equipamiento servicios de instalación de antenas y camaras</t>
  </si>
  <si>
    <t>X1</t>
  </si>
  <si>
    <t>Detectores de leyes de metales (3 años mantenimiento anual 10%)</t>
  </si>
  <si>
    <t>Plaforma tecnologica, mantenimiento y soporte de operación por 3 años</t>
  </si>
  <si>
    <t>1.4.1.B</t>
  </si>
  <si>
    <t>Trazabilidad - Software usuario</t>
  </si>
  <si>
    <t>Herramientas de SW para la explotación analítica</t>
  </si>
  <si>
    <t>Paquete</t>
  </si>
  <si>
    <t>1.4.1.C</t>
  </si>
  <si>
    <t>Trazabilidad - Servicios desarrollo software</t>
  </si>
  <si>
    <t>Y1</t>
  </si>
  <si>
    <t>Z3</t>
  </si>
  <si>
    <t>Y2</t>
  </si>
  <si>
    <t>Sector</t>
  </si>
  <si>
    <t>Y3</t>
  </si>
  <si>
    <t>Sensor</t>
  </si>
  <si>
    <t>Sistema integral de seguridad y monitoreo de sensores</t>
  </si>
  <si>
    <t>Flobal</t>
  </si>
  <si>
    <t>1.4.1.D</t>
  </si>
  <si>
    <t>Trazabilidad - Servicio</t>
  </si>
  <si>
    <t>Servicios de promoción y capacitación para masificacion del documento de traslado</t>
  </si>
  <si>
    <t>Servicios de promoción y capacitación para el marcado de envases y el control ciudadano</t>
  </si>
  <si>
    <t>1.4.2.C</t>
  </si>
  <si>
    <t>Centro de Monitoreo Virtual - Servicios desarrollo software</t>
  </si>
  <si>
    <t>Servicios terciarizados (1=si, 0=no)</t>
  </si>
  <si>
    <t>M1.1.4</t>
  </si>
  <si>
    <t>Detalle de desarrollo informático trazabilidad (M1.1.4)</t>
  </si>
  <si>
    <t xml:space="preserve">Desarrollo informático para generación de documentos de traslado desde  los sistemas del contribuyente </t>
  </si>
  <si>
    <t>Proyecto 1 Fase 1  Componente 1</t>
  </si>
  <si>
    <t>Principales Rubros</t>
  </si>
  <si>
    <t xml:space="preserve">cantidad </t>
  </si>
  <si>
    <t>Meses</t>
  </si>
  <si>
    <t xml:space="preserve">días </t>
  </si>
  <si>
    <t xml:space="preserve">Horas </t>
  </si>
  <si>
    <t xml:space="preserve">Cantidad de Horas </t>
  </si>
  <si>
    <t xml:space="preserve">Costo de la Hora </t>
  </si>
  <si>
    <t xml:space="preserve">Costo Total Dólares </t>
  </si>
  <si>
    <t xml:space="preserve">Costo Soles </t>
  </si>
  <si>
    <t xml:space="preserve">Coordinador </t>
  </si>
  <si>
    <t xml:space="preserve">Analistas Sistemas </t>
  </si>
  <si>
    <t>Informáticos programadores</t>
  </si>
  <si>
    <t xml:space="preserve">Analista de Calidad </t>
  </si>
  <si>
    <t>Costo Directo</t>
  </si>
  <si>
    <t xml:space="preserve">Gastos generales </t>
  </si>
  <si>
    <t xml:space="preserve">Utilidad </t>
  </si>
  <si>
    <t xml:space="preserve">Sub Total </t>
  </si>
  <si>
    <t xml:space="preserve">IGV </t>
  </si>
  <si>
    <t xml:space="preserve">Total </t>
  </si>
  <si>
    <t>Desarrollo informático para generación de documentos de traslado en Plataforma SUNAT</t>
  </si>
  <si>
    <t>Proyecto 1 Fase 1  Componenete 1</t>
  </si>
  <si>
    <t xml:space="preserve">Implementacion informatica del Modelo de riesgo de actores </t>
  </si>
  <si>
    <t xml:space="preserve">Coordinador de Analisis y datos </t>
  </si>
  <si>
    <t xml:space="preserve">Analista de negocio </t>
  </si>
  <si>
    <t xml:space="preserve">Analista de datos </t>
  </si>
  <si>
    <t xml:space="preserve">Cientificos de datos </t>
  </si>
  <si>
    <t xml:space="preserve">Sun Total </t>
  </si>
  <si>
    <t>Desarrollo y entrega en operación sistema integrado para el control de trazabilidad.</t>
  </si>
  <si>
    <t>Proyecto 1 Fase 2 Componenete 1</t>
  </si>
  <si>
    <t xml:space="preserve">Jefe de Proyecto </t>
  </si>
  <si>
    <t>Analistas de Sistemas</t>
  </si>
  <si>
    <t xml:space="preserve">Informáticos programadores </t>
  </si>
  <si>
    <t xml:space="preserve">Programador Front End </t>
  </si>
  <si>
    <t xml:space="preserve">Analista de calidad </t>
  </si>
  <si>
    <t xml:space="preserve">Desarrollo Informatico integracion con la Factura Electronica y deteccion de incumpliento Tributarios </t>
  </si>
  <si>
    <t xml:space="preserve">Proyecto 1 Fase 2 Componenete 2 </t>
  </si>
  <si>
    <t xml:space="preserve">Implementacion informatica de alertas para el control preventivo, concurrente y/o posterior </t>
  </si>
  <si>
    <t xml:space="preserve">Proyecto 1 Fase 2 Componenete 3 </t>
  </si>
  <si>
    <t xml:space="preserve">dias </t>
  </si>
  <si>
    <t xml:space="preserve">Desarrollo infomatico para  la integracion y poner a disposicion de los sectores involucrados la información del traslado de mercancias </t>
  </si>
  <si>
    <t>Proyecto 1 Fase 3 Componenete 2</t>
  </si>
  <si>
    <t xml:space="preserve">Total Sectores </t>
  </si>
  <si>
    <t>Implementacion informática del servicio de trazabilidad digital (Integración de servicios con SUNAT)</t>
  </si>
  <si>
    <t>Proyecto 2 Fase 1 Componenete 1</t>
  </si>
  <si>
    <t xml:space="preserve">Implementacion informatica del servicio de trazabilidad Fisica </t>
  </si>
  <si>
    <t>Proyecto 2 Fase 1 Componente 2</t>
  </si>
  <si>
    <t>Implementación de tecnología de sensores (lectoras de placas, antenas y cámaras inteligentes)</t>
  </si>
  <si>
    <t xml:space="preserve">Total de sensores </t>
  </si>
  <si>
    <t xml:space="preserve">Desarrollo informático para la integracion de información de sensores a las herramientas de explotacion analíticas para análisis de transacciones, patrones de comportamiento y tendencias </t>
  </si>
  <si>
    <t>Proyecto 3 Fase 2 Componente 2</t>
  </si>
  <si>
    <t xml:space="preserve">Gestión de proyectos </t>
  </si>
  <si>
    <t xml:space="preserve">Abogado </t>
  </si>
  <si>
    <t xml:space="preserve">Coordinador Administrativo </t>
  </si>
  <si>
    <t xml:space="preserve">Herramientas para el Control Ciudadano y Rural </t>
  </si>
  <si>
    <t xml:space="preserve">Costo Unitario </t>
  </si>
  <si>
    <t xml:space="preserve">Balanzas Electrónicas Moviles </t>
  </si>
  <si>
    <t xml:space="preserve">Notebook de Campo Rural </t>
  </si>
  <si>
    <t xml:space="preserve">Herramientas de Campo  - Kit </t>
  </si>
  <si>
    <t xml:space="preserve">Identificadores especiales </t>
  </si>
  <si>
    <t>M1.4.2</t>
  </si>
  <si>
    <t>Detalle de desarrollo informático  Centro de Monitoreo</t>
  </si>
  <si>
    <t>Servicios informáticos para la implementacion de un Centro de monitoreo virtual (control transversal)</t>
  </si>
  <si>
    <t xml:space="preserve">Ingeniero de datos </t>
  </si>
  <si>
    <t>Costod directo</t>
  </si>
  <si>
    <t>MATRIZ DE RESULTADOS</t>
  </si>
  <si>
    <t>Objetivo del Proyecto:</t>
  </si>
  <si>
    <t>El objetivo del proyecto es mejorar la capacidad de la SUNAT para la gestión tributaria y aduanera orientada a la transformación digital con el fin de mejorar la recaudación a fin de cumplir con el MMM. Esto se logrará con: (i) el fortalecimiento institucional y organizacional de la SUNAT; (ii) la integración y modernización de sus procesos de control tributario y aduanero; (iii) la mejora de los procesos de trazabilidad y control aduanero; y (iv) la intensificación del uso de las tecnologías de información con fines de fiscalización e inteligencia fiscal basada en riesgo.</t>
  </si>
  <si>
    <t>Indicador</t>
  </si>
  <si>
    <t>Unidad de Medida</t>
  </si>
  <si>
    <t>Línea de Base</t>
  </si>
  <si>
    <t>Año Línea de Base</t>
  </si>
  <si>
    <t>Año 7</t>
  </si>
  <si>
    <t>Año 8</t>
  </si>
  <si>
    <t>Año 9</t>
  </si>
  <si>
    <t>Año 10</t>
  </si>
  <si>
    <t>Meta Final</t>
  </si>
  <si>
    <t>Medios de Verificación</t>
  </si>
  <si>
    <t>Comentarios</t>
  </si>
  <si>
    <r>
      <t xml:space="preserve">IMPACTO: </t>
    </r>
    <r>
      <rPr>
        <b/>
        <sz val="10"/>
        <rFont val="Arial"/>
        <family val="2"/>
      </rPr>
      <t xml:space="preserve">Aumento de la recaudación tributaria </t>
    </r>
  </si>
  <si>
    <t>Recaudación tributaria del GC/ PIB</t>
  </si>
  <si>
    <t>Nota Tributaria SUNAT</t>
  </si>
  <si>
    <r>
      <t>Fórmula de cálculo:</t>
    </r>
    <r>
      <rPr>
        <sz val="8"/>
        <rFont val="Arial"/>
        <family val="2"/>
      </rPr>
      <t xml:space="preserve"> Línea de Base (2017): 12,9% Ingresos tributarios del GC = S/. 90,705.6 millones PIB = S/. 701,761.2 millones</t>
    </r>
  </si>
  <si>
    <t>RESULTADOS ESPERADO (Acumulativos)</t>
  </si>
  <si>
    <r>
      <t xml:space="preserve">Objetivo: </t>
    </r>
    <r>
      <rPr>
        <sz val="10"/>
        <rFont val="Arial"/>
        <family val="2"/>
      </rPr>
      <t xml:space="preserve">Disminución de la tasa de incumplimiento tributario en el Impuesto General a las Ventas (IGV) </t>
    </r>
  </si>
  <si>
    <t>Tasa de incumplimiento tributario en el IGV</t>
  </si>
  <si>
    <t>Oficina Nacional de Planeamiento y Estudios Económicos de la SUNAT</t>
  </si>
  <si>
    <r>
      <t>Fórmula de cálculo:</t>
    </r>
    <r>
      <rPr>
        <sz val="8"/>
        <rFont val="Arial"/>
        <family val="2"/>
      </rPr>
      <t xml:space="preserve">
Línea de Base (2016):
Incumplimiento estimado / Impuesto Determinado Potencial Neto 
Incumplimiento estimado = S/. 22,527.1 millones
</t>
    </r>
  </si>
  <si>
    <r>
      <t>RESULTADO #</t>
    </r>
    <r>
      <rPr>
        <b/>
        <sz val="10"/>
        <rFont val="Arial"/>
        <family val="2"/>
      </rPr>
      <t>1</t>
    </r>
    <r>
      <rPr>
        <b/>
        <sz val="10"/>
        <rFont val="Arial"/>
        <family val="2"/>
      </rPr>
      <t>:</t>
    </r>
    <r>
      <rPr>
        <sz val="10"/>
        <rFont val="Arial"/>
      </rPr>
      <t xml:space="preserve"> Aumento del % de transacciones de atención a las contribuyentes realizadas de forma virtual</t>
    </r>
  </si>
  <si>
    <t>Trasacciones virtuales</t>
  </si>
  <si>
    <t>Informe de la Intendencia Nacional de Gestión de Procesos de la SUNAT.</t>
  </si>
  <si>
    <r>
      <t>Fórmula de cálculo:</t>
    </r>
    <r>
      <rPr>
        <sz val="8"/>
        <rFont val="Arial"/>
        <family val="2"/>
      </rPr>
      <t xml:space="preserve">
Fórmula de cálculo:
Línea de Base (2017): 54,4%
Cantidad de transacciones virtuales / (cantidad de transacciones virtuales + presenciales)
</t>
    </r>
  </si>
  <si>
    <r>
      <t>RESULTADO #2:</t>
    </r>
    <r>
      <rPr>
        <u/>
        <sz val="10"/>
        <rFont val="Arial"/>
        <family val="2"/>
      </rPr>
      <t xml:space="preserve"> </t>
    </r>
    <r>
      <rPr>
        <sz val="10"/>
        <rFont val="Arial"/>
        <family val="2"/>
      </rPr>
      <t>Disminución del tiempo promedio de liberación de mercancías importadas</t>
    </r>
  </si>
  <si>
    <t xml:space="preserve">Tiempo promedio en horas de liberación de mercancías  </t>
  </si>
  <si>
    <t>Tiempo importación</t>
  </si>
  <si>
    <t>Informe de la Oficina de Gestión y Coordinación Aduanera de la SUNAT - Informe de Gestión por Resultados de la SUNAT</t>
  </si>
  <si>
    <r>
      <t xml:space="preserve">Fórmula de cálculo:
</t>
    </r>
    <r>
      <rPr>
        <sz val="8"/>
        <rFont val="Arial"/>
        <family val="2"/>
      </rPr>
      <t xml:space="preserve">Línea de Base importaciones (2017): 100,1 horas
Tiempo promedio de importaciones = (Valor FOB de Importación para el Consumo y Exportación Definitiva del OEA Importador y del OEA Exportador / Valor FOB de las declaraciones de importación para el consumo y exportación definitiva) </t>
    </r>
  </si>
  <si>
    <r>
      <t>RESULTADO #3:</t>
    </r>
    <r>
      <rPr>
        <u/>
        <sz val="10"/>
        <rFont val="Arial"/>
        <family val="2"/>
      </rPr>
      <t xml:space="preserve"> </t>
    </r>
    <r>
      <rPr>
        <sz val="10"/>
        <rFont val="Arial"/>
        <family val="2"/>
      </rPr>
      <t>Incremento de la recaudación efectiva proveniente de los procesos de fiscalización</t>
    </r>
  </si>
  <si>
    <t>Recaudación Tributaria efectiva por acciones de fiscalización/ Ingresos Tributarios del GC</t>
  </si>
  <si>
    <r>
      <t>Fórmula de cálculo:
L</t>
    </r>
    <r>
      <rPr>
        <sz val="8"/>
        <rFont val="Arial"/>
        <family val="2"/>
      </rPr>
      <t xml:space="preserve">ínea de Base (2017): 3.2%
</t>
    </r>
    <r>
      <rPr>
        <b/>
        <sz val="8"/>
        <rFont val="Arial"/>
        <family val="2"/>
      </rPr>
      <t xml:space="preserve">
</t>
    </r>
  </si>
  <si>
    <t>Nivel de servicio</t>
  </si>
  <si>
    <t>Mejora</t>
  </si>
  <si>
    <t>Mejora ajustada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</si>
</sst>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-* #,##0.00\ _€_-;\-* #,##0.00\ _€_-;_-* &quot;-&quot;??\ _€_-;_-@_-"/>
    <numFmt numFmtId="168" formatCode="0.0"/>
    <numFmt numFmtId="169" formatCode="0.0%"/>
    <numFmt numFmtId="170" formatCode="#,##0.0"/>
    <numFmt numFmtId="171" formatCode="_(* #,##0_);_(* \(#,##0\);_(* &quot;-&quot;??_);_(@_)"/>
    <numFmt numFmtId="172" formatCode="0.000"/>
    <numFmt numFmtId="173" formatCode="_ [$€]* #,##0.00_ ;_ [$€]* \-#,##0.00_ ;_ [$€]* &quot;-&quot;??_ ;_ @_ "/>
    <numFmt numFmtId="174" formatCode="0.000%"/>
    <numFmt numFmtId="175" formatCode="0.0000%"/>
    <numFmt numFmtId="176" formatCode="&quot;$&quot;#,##0.00;[Red]\-&quot;$&quot;#,##0.00"/>
    <numFmt numFmtId="177" formatCode="[$S/.-280A]#,##0.00"/>
    <numFmt numFmtId="178" formatCode="#,##0.0000000000"/>
    <numFmt numFmtId="179" formatCode="&quot;S/.&quot;#,##0.00"/>
    <numFmt numFmtId="180" formatCode="[$USD]\ #,##0.00"/>
    <numFmt numFmtId="181" formatCode="[$USD]\ #,##0"/>
  </numFmts>
  <fonts count="11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11"/>
      <name val="Arial"/>
      <family val="2"/>
    </font>
    <font>
      <i/>
      <sz val="10"/>
      <color indexed="12"/>
      <name val="Arial"/>
      <family val="2"/>
    </font>
    <font>
      <i/>
      <sz val="10"/>
      <color indexed="10"/>
      <name val="Arial"/>
      <family val="2"/>
    </font>
    <font>
      <b/>
      <i/>
      <sz val="9"/>
      <color indexed="3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sz val="9"/>
      <color indexed="8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i/>
      <sz val="10"/>
      <color indexed="62"/>
      <name val="Arial"/>
      <family val="2"/>
    </font>
    <font>
      <b/>
      <sz val="9"/>
      <color indexed="18"/>
      <name val="Arial"/>
      <family val="2"/>
    </font>
    <font>
      <sz val="9"/>
      <name val="Arial"/>
      <family val="2"/>
    </font>
    <font>
      <sz val="11"/>
      <color indexed="60"/>
      <name val="Calibri"/>
      <family val="2"/>
    </font>
    <font>
      <i/>
      <sz val="9"/>
      <color indexed="10"/>
      <name val="Arial"/>
      <family val="2"/>
    </font>
    <font>
      <b/>
      <sz val="11"/>
      <color indexed="63"/>
      <name val="Calibri"/>
      <family val="2"/>
    </font>
    <font>
      <b/>
      <sz val="10"/>
      <color indexed="12"/>
      <name val="Arial"/>
      <family val="2"/>
    </font>
    <font>
      <b/>
      <sz val="10"/>
      <color indexed="18"/>
      <name val="Helv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4"/>
      <color indexed="9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Geneva"/>
    </font>
    <font>
      <i/>
      <sz val="9"/>
      <color indexed="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8"/>
      <name val="Helv"/>
    </font>
    <font>
      <b/>
      <sz val="12"/>
      <name val="Helv"/>
    </font>
    <font>
      <sz val="11"/>
      <color indexed="8"/>
      <name val="ＭＳ Ｐゴシック"/>
      <family val="3"/>
      <charset val="128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0"/>
      <color indexed="8"/>
      <name val="MS Sans Serif"/>
      <family val="2"/>
    </font>
    <font>
      <b/>
      <sz val="7.9"/>
      <color indexed="8"/>
      <name val="Arial"/>
      <family val="2"/>
    </font>
    <font>
      <sz val="11"/>
      <name val="ＭＳ Ｐゴシック"/>
      <family val="3"/>
      <charset val="128"/>
    </font>
    <font>
      <sz val="6"/>
      <name val="Arial"/>
      <family val="2"/>
    </font>
    <font>
      <b/>
      <sz val="6"/>
      <name val="Arial"/>
      <family val="2"/>
    </font>
    <font>
      <b/>
      <sz val="5"/>
      <name val="Arial"/>
      <family val="2"/>
    </font>
    <font>
      <sz val="10"/>
      <name val="Helv"/>
      <family val="2"/>
    </font>
    <font>
      <b/>
      <sz val="10"/>
      <name val="Helv"/>
    </font>
    <font>
      <sz val="10"/>
      <name val="Helv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12"/>
      <color indexed="8"/>
      <name val="Times New Roman"/>
      <family val="1"/>
    </font>
    <font>
      <b/>
      <sz val="12"/>
      <color indexed="60"/>
      <name val="Times New Roman"/>
      <family val="1"/>
    </font>
    <font>
      <b/>
      <sz val="14"/>
      <color indexed="8"/>
      <name val="Calibri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Calibri"/>
      <family val="2"/>
    </font>
    <font>
      <sz val="11"/>
      <name val="Times New Roman"/>
      <family val="1"/>
    </font>
    <font>
      <b/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color indexed="10"/>
      <name val="Times New Roman"/>
      <family val="1"/>
    </font>
    <font>
      <b/>
      <sz val="9"/>
      <color indexed="8"/>
      <name val="Arial"/>
      <family val="2"/>
    </font>
    <font>
      <sz val="9"/>
      <color indexed="81"/>
      <name val="Arial"/>
      <family val="2"/>
    </font>
    <font>
      <b/>
      <sz val="9"/>
      <color indexed="81"/>
      <name val="Arial"/>
      <family val="2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b/>
      <sz val="14"/>
      <color indexed="8"/>
      <name val="Times New Roman"/>
      <family val="1"/>
    </font>
    <font>
      <sz val="14"/>
      <color indexed="8"/>
      <name val="Calibri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i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FF0000"/>
      <name val="Times New Roman"/>
      <family val="1"/>
    </font>
    <font>
      <b/>
      <sz val="11"/>
      <color theme="6"/>
      <name val="Times New Roman"/>
      <family val="1"/>
    </font>
    <font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b/>
      <sz val="10"/>
      <color indexed="6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</patternFill>
    </fill>
    <fill>
      <patternFill patternType="gray125">
        <fgColor indexed="22"/>
        <bgColor indexed="9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3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0C0C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94">
    <xf numFmtId="0" fontId="0" fillId="0" borderId="0"/>
    <xf numFmtId="0" fontId="7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1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</xf>
    <xf numFmtId="0" fontId="10" fillId="0" borderId="1" applyBorder="0">
      <alignment horizontal="left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9" fontId="14" fillId="0" borderId="1" applyNumberFormat="0" applyBorder="0">
      <alignment horizontal="right"/>
    </xf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4" fillId="0" borderId="0" applyNumberFormat="0" applyFill="0" applyBorder="0" applyProtection="0">
      <alignment horizontal="left"/>
    </xf>
    <xf numFmtId="0" fontId="16" fillId="21" borderId="3" applyNumberFormat="0" applyAlignment="0" applyProtection="0"/>
    <xf numFmtId="0" fontId="16" fillId="21" borderId="3" applyNumberFormat="0" applyAlignment="0" applyProtection="0"/>
    <xf numFmtId="0" fontId="16" fillId="21" borderId="3" applyNumberFormat="0" applyAlignment="0" applyProtection="0"/>
    <xf numFmtId="43" fontId="1" fillId="0" borderId="0" applyFont="0" applyFill="0" applyBorder="0" applyAlignment="0" applyProtection="0"/>
    <xf numFmtId="0" fontId="4" fillId="0" borderId="0" applyFill="0" applyBorder="0"/>
    <xf numFmtId="0" fontId="32" fillId="0" borderId="4" applyNumberFormat="0" applyFill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173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48" fillId="0" borderId="0"/>
    <xf numFmtId="0" fontId="49" fillId="0" borderId="0"/>
    <xf numFmtId="0" fontId="32" fillId="0" borderId="4" applyNumberFormat="0" applyFill="0" applyAlignment="0" applyProtection="0"/>
    <xf numFmtId="0" fontId="32" fillId="0" borderId="4" applyNumberFormat="0" applyFill="0" applyAlignment="0" applyProtection="0"/>
    <xf numFmtId="0" fontId="32" fillId="0" borderId="4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0" borderId="0" applyFill="0" applyBorder="0" applyAlignment="0" applyProtection="0">
      <alignment horizontal="right"/>
    </xf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3" fillId="22" borderId="0" applyNumberFormat="0" applyFont="0" applyBorder="0" applyAlignment="0" applyProtection="0">
      <alignment horizontal="left"/>
    </xf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50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6" fontId="50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51" fillId="0" borderId="0" applyNumberFormat="0" applyFont="0" applyFill="0" applyBorder="0" applyProtection="0">
      <alignment vertical="center"/>
    </xf>
    <xf numFmtId="166" fontId="11" fillId="0" borderId="0" applyFont="0" applyFill="0" applyBorder="0" applyAlignment="0" applyProtection="0"/>
    <xf numFmtId="0" fontId="22" fillId="23" borderId="0">
      <alignment horizontal="right"/>
    </xf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>
      <alignment vertical="center"/>
    </xf>
    <xf numFmtId="0" fontId="45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5" fillId="0" borderId="0">
      <alignment vertical="center"/>
    </xf>
    <xf numFmtId="0" fontId="4" fillId="0" borderId="0"/>
    <xf numFmtId="0" fontId="52" fillId="0" borderId="0"/>
    <xf numFmtId="0" fontId="53" fillId="0" borderId="0"/>
    <xf numFmtId="0" fontId="4" fillId="0" borderId="0"/>
    <xf numFmtId="0" fontId="11" fillId="0" borderId="0"/>
    <xf numFmtId="0" fontId="62" fillId="0" borderId="0"/>
    <xf numFmtId="0" fontId="11" fillId="0" borderId="0"/>
    <xf numFmtId="0" fontId="61" fillId="0" borderId="0"/>
    <xf numFmtId="0" fontId="59" fillId="0" borderId="0"/>
    <xf numFmtId="0" fontId="5" fillId="25" borderId="0" applyBorder="0" applyAlignment="0">
      <alignment horizontal="left"/>
    </xf>
    <xf numFmtId="0" fontId="4" fillId="26" borderId="8" applyNumberFormat="0" applyFont="0" applyAlignment="0" applyProtection="0"/>
    <xf numFmtId="0" fontId="4" fillId="26" borderId="8" applyNumberFormat="0" applyFont="0" applyAlignment="0" applyProtection="0"/>
    <xf numFmtId="0" fontId="4" fillId="26" borderId="8" applyNumberFormat="0" applyFont="0" applyAlignment="0" applyProtection="0"/>
    <xf numFmtId="0" fontId="4" fillId="26" borderId="8" applyNumberFormat="0" applyFont="0" applyAlignment="0" applyProtection="0"/>
    <xf numFmtId="0" fontId="4" fillId="26" borderId="8" applyNumberFormat="0" applyFont="0" applyAlignment="0" applyProtection="0"/>
    <xf numFmtId="0" fontId="4" fillId="26" borderId="8" applyNumberFormat="0" applyFont="0" applyAlignment="0" applyProtection="0"/>
    <xf numFmtId="0" fontId="26" fillId="20" borderId="9" applyNumberFormat="0" applyAlignment="0" applyProtection="0"/>
    <xf numFmtId="0" fontId="26" fillId="20" borderId="9" applyNumberFormat="0" applyAlignment="0" applyProtection="0"/>
    <xf numFmtId="0" fontId="26" fillId="20" borderId="9" applyNumberFormat="0" applyAlignment="0" applyProtection="0"/>
    <xf numFmtId="0" fontId="26" fillId="20" borderId="9" applyNumberFormat="0" applyAlignment="0" applyProtection="0"/>
    <xf numFmtId="0" fontId="26" fillId="20" borderId="9" applyNumberFormat="0" applyAlignment="0" applyProtection="0"/>
    <xf numFmtId="0" fontId="26" fillId="20" borderId="9" applyNumberFormat="0" applyAlignment="0" applyProtection="0"/>
    <xf numFmtId="0" fontId="26" fillId="20" borderId="9" applyNumberFormat="0" applyAlignment="0" applyProtection="0"/>
    <xf numFmtId="9" fontId="1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25" fillId="0" borderId="0" applyNumberFormat="0" applyFill="0" applyBorder="0" applyProtection="0">
      <alignment horizontal="right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0" fillId="0" borderId="0" applyFont="0" applyFill="0" applyBorder="0" applyAlignment="0" applyProtection="0">
      <alignment vertical="center"/>
    </xf>
    <xf numFmtId="0" fontId="54" fillId="0" borderId="0" applyNumberFormat="0" applyFill="0" applyBorder="0" applyProtection="0">
      <alignment vertical="center"/>
    </xf>
    <xf numFmtId="0" fontId="26" fillId="20" borderId="9" applyNumberFormat="0" applyAlignment="0" applyProtection="0"/>
    <xf numFmtId="0" fontId="27" fillId="0" borderId="0">
      <alignment horizontal="right"/>
    </xf>
    <xf numFmtId="0" fontId="63" fillId="0" borderId="0"/>
    <xf numFmtId="0" fontId="28" fillId="27" borderId="0" applyNumberFormat="0" applyBorder="0" applyAlignment="0" applyProtection="0"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38" fontId="55" fillId="0" borderId="0" applyFont="0" applyFill="0" applyBorder="0" applyAlignment="0" applyProtection="0">
      <alignment vertical="center"/>
    </xf>
    <xf numFmtId="0" fontId="55" fillId="0" borderId="0">
      <alignment vertical="center"/>
    </xf>
    <xf numFmtId="0" fontId="88" fillId="0" borderId="0"/>
    <xf numFmtId="43" fontId="88" fillId="0" borderId="0" applyFont="0" applyFill="0" applyBorder="0" applyAlignment="0" applyProtection="0"/>
    <xf numFmtId="9" fontId="88" fillId="0" borderId="0" applyFont="0" applyFill="0" applyBorder="0" applyAlignment="0" applyProtection="0"/>
  </cellStyleXfs>
  <cellXfs count="1189">
    <xf numFmtId="0" fontId="0" fillId="0" borderId="0" xfId="0"/>
    <xf numFmtId="0" fontId="3" fillId="28" borderId="11" xfId="0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0" xfId="0" applyAlignment="1">
      <alignment horizontal="center"/>
    </xf>
    <xf numFmtId="0" fontId="35" fillId="29" borderId="0" xfId="0" applyFont="1" applyFill="1"/>
    <xf numFmtId="0" fontId="35" fillId="29" borderId="0" xfId="0" applyFont="1" applyFill="1" applyAlignment="1">
      <alignment horizontal="right"/>
    </xf>
    <xf numFmtId="0" fontId="35" fillId="29" borderId="0" xfId="0" applyFont="1" applyFill="1" applyAlignment="1">
      <alignment horizontal="left"/>
    </xf>
    <xf numFmtId="0" fontId="0" fillId="30" borderId="1" xfId="0" applyFill="1" applyBorder="1"/>
    <xf numFmtId="0" fontId="0" fillId="30" borderId="0" xfId="0" applyFill="1"/>
    <xf numFmtId="0" fontId="5" fillId="30" borderId="0" xfId="0" applyFont="1" applyFill="1"/>
    <xf numFmtId="0" fontId="0" fillId="30" borderId="0" xfId="0" applyFill="1" applyAlignment="1">
      <alignment horizontal="right"/>
    </xf>
    <xf numFmtId="0" fontId="0" fillId="30" borderId="0" xfId="0" applyFill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3" fontId="0" fillId="0" borderId="0" xfId="0" applyNumberFormat="1"/>
    <xf numFmtId="170" fontId="0" fillId="0" borderId="0" xfId="0" applyNumberFormat="1"/>
    <xf numFmtId="0" fontId="40" fillId="30" borderId="1" xfId="0" applyFont="1" applyFill="1" applyBorder="1"/>
    <xf numFmtId="0" fontId="0" fillId="31" borderId="0" xfId="0" applyFill="1"/>
    <xf numFmtId="0" fontId="41" fillId="31" borderId="0" xfId="0" applyFont="1" applyFill="1"/>
    <xf numFmtId="0" fontId="5" fillId="31" borderId="0" xfId="0" applyFont="1" applyFill="1"/>
    <xf numFmtId="0" fontId="0" fillId="31" borderId="0" xfId="0" applyFill="1" applyAlignment="1">
      <alignment horizontal="left"/>
    </xf>
    <xf numFmtId="0" fontId="0" fillId="31" borderId="0" xfId="0" applyFill="1" applyAlignment="1">
      <alignment horizontal="centerContinuous"/>
    </xf>
    <xf numFmtId="0" fontId="0" fillId="31" borderId="16" xfId="0" applyFill="1" applyBorder="1" applyAlignment="1">
      <alignment horizontal="right"/>
    </xf>
    <xf numFmtId="0" fontId="0" fillId="31" borderId="0" xfId="0" applyFill="1" applyAlignment="1">
      <alignment horizontal="right"/>
    </xf>
    <xf numFmtId="0" fontId="0" fillId="31" borderId="16" xfId="0" applyFill="1" applyBorder="1"/>
    <xf numFmtId="0" fontId="41" fillId="31" borderId="16" xfId="0" applyFont="1" applyFill="1" applyBorder="1"/>
    <xf numFmtId="0" fontId="5" fillId="31" borderId="16" xfId="0" applyFont="1" applyFill="1" applyBorder="1"/>
    <xf numFmtId="0" fontId="0" fillId="31" borderId="16" xfId="0" applyFill="1" applyBorder="1" applyAlignment="1">
      <alignment horizontal="left"/>
    </xf>
    <xf numFmtId="0" fontId="0" fillId="31" borderId="0" xfId="0" applyFill="1" applyAlignment="1">
      <alignment vertical="center" wrapText="1"/>
    </xf>
    <xf numFmtId="0" fontId="3" fillId="28" borderId="15" xfId="0" applyFont="1" applyFill="1" applyBorder="1" applyAlignment="1">
      <alignment horizontal="center" vertical="center" textRotation="90" wrapText="1"/>
    </xf>
    <xf numFmtId="0" fontId="3" fillId="28" borderId="17" xfId="0" applyFont="1" applyFill="1" applyBorder="1" applyAlignment="1">
      <alignment horizontal="center" vertical="center" textRotation="90" wrapText="1"/>
    </xf>
    <xf numFmtId="0" fontId="0" fillId="31" borderId="11" xfId="0" applyFill="1" applyBorder="1" applyAlignment="1">
      <alignment horizontal="center" vertical="center" wrapText="1"/>
    </xf>
    <xf numFmtId="0" fontId="36" fillId="0" borderId="0" xfId="0" applyFont="1"/>
    <xf numFmtId="0" fontId="42" fillId="0" borderId="0" xfId="0" applyFont="1"/>
    <xf numFmtId="0" fontId="5" fillId="0" borderId="15" xfId="0" applyFont="1" applyBorder="1" applyAlignment="1">
      <alignment vertical="center" wrapText="1"/>
    </xf>
    <xf numFmtId="0" fontId="4" fillId="31" borderId="0" xfId="0" applyFont="1" applyFill="1"/>
    <xf numFmtId="4" fontId="0" fillId="31" borderId="0" xfId="0" applyNumberFormat="1" applyFill="1"/>
    <xf numFmtId="0" fontId="0" fillId="31" borderId="18" xfId="0" applyFill="1" applyBorder="1"/>
    <xf numFmtId="0" fontId="0" fillId="31" borderId="19" xfId="0" applyFill="1" applyBorder="1"/>
    <xf numFmtId="0" fontId="4" fillId="31" borderId="11" xfId="0" applyFont="1" applyFill="1" applyBorder="1" applyAlignment="1">
      <alignment horizontal="center" vertical="center"/>
    </xf>
    <xf numFmtId="0" fontId="0" fillId="31" borderId="1" xfId="0" applyFill="1" applyBorder="1"/>
    <xf numFmtId="0" fontId="0" fillId="31" borderId="20" xfId="0" applyFill="1" applyBorder="1"/>
    <xf numFmtId="0" fontId="0" fillId="31" borderId="0" xfId="0" applyFill="1" applyAlignment="1">
      <alignment horizontal="center" vertical="center" wrapText="1"/>
    </xf>
    <xf numFmtId="0" fontId="0" fillId="31" borderId="21" xfId="0" applyFill="1" applyBorder="1"/>
    <xf numFmtId="0" fontId="0" fillId="31" borderId="22" xfId="0" applyFill="1" applyBorder="1"/>
    <xf numFmtId="3" fontId="4" fillId="31" borderId="0" xfId="0" applyNumberFormat="1" applyFont="1" applyFill="1" applyAlignment="1">
      <alignment vertical="center" wrapText="1"/>
    </xf>
    <xf numFmtId="0" fontId="0" fillId="31" borderId="0" xfId="0" applyFill="1" applyAlignment="1">
      <alignment horizontal="center"/>
    </xf>
    <xf numFmtId="0" fontId="4" fillId="31" borderId="0" xfId="0" applyFont="1" applyFill="1" applyAlignment="1">
      <alignment vertical="center" wrapText="1"/>
    </xf>
    <xf numFmtId="0" fontId="0" fillId="31" borderId="15" xfId="0" applyFill="1" applyBorder="1" applyAlignment="1">
      <alignment vertical="center" wrapText="1"/>
    </xf>
    <xf numFmtId="0" fontId="0" fillId="31" borderId="15" xfId="0" applyFill="1" applyBorder="1" applyAlignment="1">
      <alignment horizontal="center" vertical="center" wrapText="1"/>
    </xf>
    <xf numFmtId="170" fontId="4" fillId="31" borderId="15" xfId="0" applyNumberFormat="1" applyFont="1" applyFill="1" applyBorder="1" applyAlignment="1">
      <alignment horizontal="center" vertical="center" wrapText="1"/>
    </xf>
    <xf numFmtId="0" fontId="4" fillId="31" borderId="15" xfId="0" applyFont="1" applyFill="1" applyBorder="1" applyAlignment="1">
      <alignment horizontal="center" vertical="center" wrapText="1"/>
    </xf>
    <xf numFmtId="0" fontId="0" fillId="31" borderId="17" xfId="0" applyFill="1" applyBorder="1" applyAlignment="1">
      <alignment vertical="center" wrapText="1"/>
    </xf>
    <xf numFmtId="0" fontId="0" fillId="31" borderId="17" xfId="0" applyFill="1" applyBorder="1" applyAlignment="1">
      <alignment horizontal="center" vertical="center" wrapText="1"/>
    </xf>
    <xf numFmtId="0" fontId="0" fillId="31" borderId="1" xfId="0" applyFill="1" applyBorder="1" applyAlignment="1">
      <alignment horizontal="center" vertical="center" wrapText="1"/>
    </xf>
    <xf numFmtId="0" fontId="4" fillId="31" borderId="0" xfId="0" applyFont="1" applyFill="1" applyAlignment="1">
      <alignment horizontal="center" vertical="center" wrapText="1"/>
    </xf>
    <xf numFmtId="4" fontId="0" fillId="0" borderId="0" xfId="0" applyNumberFormat="1"/>
    <xf numFmtId="170" fontId="4" fillId="31" borderId="0" xfId="0" applyNumberFormat="1" applyFont="1" applyFill="1" applyAlignment="1">
      <alignment horizontal="center" vertical="center" wrapText="1"/>
    </xf>
    <xf numFmtId="0" fontId="0" fillId="31" borderId="14" xfId="0" applyFill="1" applyBorder="1" applyAlignment="1">
      <alignment vertical="center" wrapText="1"/>
    </xf>
    <xf numFmtId="0" fontId="0" fillId="31" borderId="14" xfId="0" applyFill="1" applyBorder="1" applyAlignment="1">
      <alignment horizontal="center" vertical="center" wrapText="1"/>
    </xf>
    <xf numFmtId="0" fontId="0" fillId="31" borderId="11" xfId="0" applyFill="1" applyBorder="1" applyAlignment="1">
      <alignment vertical="center" wrapText="1"/>
    </xf>
    <xf numFmtId="0" fontId="0" fillId="31" borderId="0" xfId="0" applyFill="1" applyAlignment="1">
      <alignment horizontal="center" vertical="center"/>
    </xf>
    <xf numFmtId="0" fontId="38" fillId="0" borderId="23" xfId="0" applyFont="1" applyBorder="1" applyAlignment="1">
      <alignment wrapText="1"/>
    </xf>
    <xf numFmtId="0" fontId="38" fillId="0" borderId="24" xfId="0" applyFont="1" applyBorder="1" applyAlignment="1">
      <alignment wrapText="1"/>
    </xf>
    <xf numFmtId="0" fontId="4" fillId="0" borderId="24" xfId="0" applyFont="1" applyBorder="1" applyAlignment="1">
      <alignment horizontal="justify" vertical="top" wrapText="1"/>
    </xf>
    <xf numFmtId="10" fontId="0" fillId="0" borderId="11" xfId="0" applyNumberForma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 wrapText="1"/>
    </xf>
    <xf numFmtId="3" fontId="4" fillId="31" borderId="11" xfId="0" applyNumberFormat="1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 vertical="center" wrapText="1"/>
    </xf>
    <xf numFmtId="0" fontId="0" fillId="31" borderId="11" xfId="0" applyFill="1" applyBorder="1"/>
    <xf numFmtId="0" fontId="0" fillId="31" borderId="11" xfId="0" applyFill="1" applyBorder="1" applyAlignment="1">
      <alignment horizontal="right" vertical="center" wrapText="1"/>
    </xf>
    <xf numFmtId="0" fontId="0" fillId="31" borderId="11" xfId="0" applyFill="1" applyBorder="1" applyAlignment="1">
      <alignment horizontal="justify" vertical="center" wrapText="1"/>
    </xf>
    <xf numFmtId="4" fontId="0" fillId="31" borderId="11" xfId="0" applyNumberFormat="1" applyFill="1" applyBorder="1" applyAlignment="1">
      <alignment vertical="center" wrapText="1"/>
    </xf>
    <xf numFmtId="0" fontId="0" fillId="32" borderId="0" xfId="0" applyFill="1"/>
    <xf numFmtId="4" fontId="0" fillId="32" borderId="0" xfId="0" applyNumberFormat="1" applyFill="1"/>
    <xf numFmtId="2" fontId="0" fillId="0" borderId="0" xfId="0" applyNumberFormat="1"/>
    <xf numFmtId="1" fontId="0" fillId="31" borderId="11" xfId="0" applyNumberFormat="1" applyFill="1" applyBorder="1" applyAlignment="1">
      <alignment horizontal="center" vertical="center" wrapText="1"/>
    </xf>
    <xf numFmtId="1" fontId="0" fillId="31" borderId="14" xfId="0" applyNumberFormat="1" applyFill="1" applyBorder="1" applyAlignment="1">
      <alignment horizontal="center" vertical="center" wrapText="1"/>
    </xf>
    <xf numFmtId="1" fontId="0" fillId="31" borderId="15" xfId="0" applyNumberFormat="1" applyFill="1" applyBorder="1" applyAlignment="1">
      <alignment horizontal="center" vertical="center" wrapText="1"/>
    </xf>
    <xf numFmtId="1" fontId="0" fillId="28" borderId="12" xfId="0" applyNumberFormat="1" applyFill="1" applyBorder="1" applyAlignment="1">
      <alignment horizontal="center" vertical="center" wrapText="1"/>
    </xf>
    <xf numFmtId="1" fontId="0" fillId="28" borderId="27" xfId="0" applyNumberFormat="1" applyFill="1" applyBorder="1" applyAlignment="1">
      <alignment horizontal="center" vertical="center" wrapText="1"/>
    </xf>
    <xf numFmtId="1" fontId="0" fillId="28" borderId="13" xfId="0" applyNumberFormat="1" applyFill="1" applyBorder="1"/>
    <xf numFmtId="0" fontId="0" fillId="28" borderId="13" xfId="0" applyFill="1" applyBorder="1"/>
    <xf numFmtId="1" fontId="0" fillId="0" borderId="11" xfId="0" applyNumberFormat="1" applyBorder="1" applyAlignment="1">
      <alignment horizontal="center" vertical="center"/>
    </xf>
    <xf numFmtId="0" fontId="1" fillId="31" borderId="11" xfId="0" applyFont="1" applyFill="1" applyBorder="1" applyAlignment="1">
      <alignment vertical="center" wrapText="1"/>
    </xf>
    <xf numFmtId="169" fontId="0" fillId="31" borderId="11" xfId="258" applyNumberFormat="1" applyFont="1" applyFill="1" applyBorder="1" applyAlignment="1">
      <alignment horizontal="center" vertical="center" wrapText="1"/>
    </xf>
    <xf numFmtId="3" fontId="4" fillId="0" borderId="11" xfId="0" applyNumberFormat="1" applyFont="1" applyBorder="1" applyAlignment="1">
      <alignment vertical="center" wrapText="1"/>
    </xf>
    <xf numFmtId="170" fontId="4" fillId="0" borderId="11" xfId="0" applyNumberFormat="1" applyFont="1" applyBorder="1" applyAlignment="1">
      <alignment vertical="center" wrapText="1"/>
    </xf>
    <xf numFmtId="170" fontId="4" fillId="31" borderId="0" xfId="0" applyNumberFormat="1" applyFont="1" applyFill="1" applyAlignment="1">
      <alignment vertical="center" wrapText="1"/>
    </xf>
    <xf numFmtId="10" fontId="4" fillId="31" borderId="0" xfId="0" applyNumberFormat="1" applyFont="1" applyFill="1"/>
    <xf numFmtId="4" fontId="56" fillId="0" borderId="11" xfId="0" applyNumberFormat="1" applyFont="1" applyBorder="1" applyAlignment="1">
      <alignment vertical="center" wrapText="1"/>
    </xf>
    <xf numFmtId="4" fontId="57" fillId="0" borderId="11" xfId="0" applyNumberFormat="1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/>
    </xf>
    <xf numFmtId="170" fontId="56" fillId="31" borderId="0" xfId="0" applyNumberFormat="1" applyFont="1" applyFill="1" applyAlignment="1">
      <alignment vertical="center" wrapText="1"/>
    </xf>
    <xf numFmtId="170" fontId="57" fillId="31" borderId="0" xfId="0" applyNumberFormat="1" applyFont="1" applyFill="1" applyAlignment="1">
      <alignment vertical="center" wrapText="1"/>
    </xf>
    <xf numFmtId="169" fontId="4" fillId="31" borderId="0" xfId="0" applyNumberFormat="1" applyFont="1" applyFill="1"/>
    <xf numFmtId="4" fontId="57" fillId="31" borderId="11" xfId="0" applyNumberFormat="1" applyFont="1" applyFill="1" applyBorder="1" applyAlignment="1">
      <alignment vertical="center" wrapText="1"/>
    </xf>
    <xf numFmtId="4" fontId="56" fillId="31" borderId="0" xfId="0" applyNumberFormat="1" applyFont="1" applyFill="1" applyAlignment="1">
      <alignment vertical="center" wrapText="1"/>
    </xf>
    <xf numFmtId="4" fontId="57" fillId="31" borderId="0" xfId="0" applyNumberFormat="1" applyFont="1" applyFill="1" applyAlignment="1">
      <alignment vertical="center" wrapText="1"/>
    </xf>
    <xf numFmtId="4" fontId="58" fillId="31" borderId="11" xfId="0" applyNumberFormat="1" applyFont="1" applyFill="1" applyBorder="1" applyAlignment="1">
      <alignment vertical="center" wrapText="1"/>
    </xf>
    <xf numFmtId="177" fontId="0" fillId="0" borderId="11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0" fontId="44" fillId="31" borderId="0" xfId="0" applyFont="1" applyFill="1"/>
    <xf numFmtId="178" fontId="2" fillId="0" borderId="0" xfId="0" applyNumberFormat="1" applyFont="1"/>
    <xf numFmtId="4" fontId="0" fillId="31" borderId="11" xfId="0" applyNumberFormat="1" applyFill="1" applyBorder="1" applyAlignment="1">
      <alignment horizontal="center" vertical="center"/>
    </xf>
    <xf numFmtId="0" fontId="1" fillId="32" borderId="0" xfId="0" applyFont="1" applyFill="1" applyAlignment="1">
      <alignment horizontal="center"/>
    </xf>
    <xf numFmtId="172" fontId="0" fillId="31" borderId="11" xfId="0" applyNumberFormat="1" applyFill="1" applyBorder="1" applyAlignment="1">
      <alignment horizontal="center" vertical="center" wrapText="1"/>
    </xf>
    <xf numFmtId="0" fontId="0" fillId="31" borderId="17" xfId="0" applyFill="1" applyBorder="1"/>
    <xf numFmtId="170" fontId="4" fillId="31" borderId="11" xfId="0" applyNumberFormat="1" applyFont="1" applyFill="1" applyBorder="1" applyAlignment="1">
      <alignment vertical="center" wrapText="1"/>
    </xf>
    <xf numFmtId="10" fontId="4" fillId="31" borderId="11" xfId="0" applyNumberFormat="1" applyFont="1" applyFill="1" applyBorder="1" applyAlignment="1">
      <alignment horizontal="center" vertical="center" wrapText="1"/>
    </xf>
    <xf numFmtId="10" fontId="2" fillId="0" borderId="11" xfId="258" applyNumberFormat="1" applyFont="1" applyBorder="1" applyAlignment="1">
      <alignment horizontal="center" vertical="center" wrapText="1"/>
    </xf>
    <xf numFmtId="169" fontId="2" fillId="0" borderId="11" xfId="258" applyNumberFormat="1" applyFont="1" applyBorder="1" applyAlignment="1">
      <alignment horizontal="center" vertical="center" wrapText="1"/>
    </xf>
    <xf numFmtId="170" fontId="2" fillId="0" borderId="11" xfId="258" applyNumberFormat="1" applyFont="1" applyBorder="1" applyAlignment="1">
      <alignment horizontal="center" vertical="center" wrapText="1"/>
    </xf>
    <xf numFmtId="1" fontId="2" fillId="0" borderId="11" xfId="258" applyNumberFormat="1" applyFont="1" applyBorder="1" applyAlignment="1">
      <alignment horizontal="center" vertical="center" wrapText="1"/>
    </xf>
    <xf numFmtId="1" fontId="1" fillId="0" borderId="12" xfId="258" applyNumberFormat="1" applyBorder="1" applyAlignment="1">
      <alignment horizontal="center" vertical="center" wrapText="1"/>
    </xf>
    <xf numFmtId="9" fontId="1" fillId="0" borderId="11" xfId="258" applyBorder="1" applyAlignment="1">
      <alignment horizontal="center" vertical="center" wrapText="1"/>
    </xf>
    <xf numFmtId="0" fontId="2" fillId="0" borderId="11" xfId="0" applyFont="1" applyBorder="1"/>
    <xf numFmtId="9" fontId="2" fillId="0" borderId="11" xfId="0" applyNumberFormat="1" applyFont="1" applyBorder="1" applyAlignment="1">
      <alignment vertical="center"/>
    </xf>
    <xf numFmtId="3" fontId="2" fillId="0" borderId="11" xfId="258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/>
    </xf>
    <xf numFmtId="3" fontId="0" fillId="31" borderId="20" xfId="0" applyNumberFormat="1" applyFill="1" applyBorder="1" applyAlignment="1">
      <alignment vertical="center" wrapText="1"/>
    </xf>
    <xf numFmtId="0" fontId="0" fillId="31" borderId="18" xfId="0" applyFill="1" applyBorder="1" applyAlignment="1">
      <alignment vertical="center"/>
    </xf>
    <xf numFmtId="0" fontId="0" fillId="31" borderId="18" xfId="0" applyFill="1" applyBorder="1" applyAlignment="1">
      <alignment horizontal="center" vertical="center"/>
    </xf>
    <xf numFmtId="3" fontId="0" fillId="31" borderId="1" xfId="0" applyNumberFormat="1" applyFill="1" applyBorder="1" applyAlignment="1">
      <alignment horizontal="center" vertical="center" wrapText="1"/>
    </xf>
    <xf numFmtId="0" fontId="60" fillId="34" borderId="14" xfId="243" applyFont="1" applyFill="1" applyBorder="1" applyAlignment="1">
      <alignment horizontal="center" vertical="center"/>
    </xf>
    <xf numFmtId="0" fontId="60" fillId="34" borderId="12" xfId="243" applyFont="1" applyFill="1" applyBorder="1" applyAlignment="1">
      <alignment horizontal="centerContinuous" vertical="center"/>
    </xf>
    <xf numFmtId="0" fontId="60" fillId="34" borderId="27" xfId="243" applyFont="1" applyFill="1" applyBorder="1" applyAlignment="1">
      <alignment horizontal="centerContinuous" vertical="center"/>
    </xf>
    <xf numFmtId="0" fontId="60" fillId="34" borderId="13" xfId="243" applyFont="1" applyFill="1" applyBorder="1" applyAlignment="1">
      <alignment horizontal="centerContinuous" vertical="center"/>
    </xf>
    <xf numFmtId="0" fontId="60" fillId="34" borderId="15" xfId="243" applyFont="1" applyFill="1" applyBorder="1" applyAlignment="1">
      <alignment horizontal="center" vertical="center"/>
    </xf>
    <xf numFmtId="0" fontId="60" fillId="34" borderId="11" xfId="243" applyFont="1" applyFill="1" applyBorder="1" applyAlignment="1">
      <alignment horizontal="center" vertical="center"/>
    </xf>
    <xf numFmtId="9" fontId="60" fillId="34" borderId="11" xfId="243" applyNumberFormat="1" applyFont="1" applyFill="1" applyBorder="1" applyAlignment="1">
      <alignment horizontal="center" vertical="center"/>
    </xf>
    <xf numFmtId="179" fontId="0" fillId="0" borderId="11" xfId="0" applyNumberFormat="1" applyBorder="1" applyAlignment="1">
      <alignment horizontal="center" vertical="center" wrapText="1"/>
    </xf>
    <xf numFmtId="0" fontId="60" fillId="34" borderId="14" xfId="243" applyFont="1" applyFill="1" applyBorder="1" applyAlignment="1" applyProtection="1">
      <alignment horizontal="center" vertical="center"/>
      <protection hidden="1"/>
    </xf>
    <xf numFmtId="0" fontId="60" fillId="34" borderId="12" xfId="243" applyFont="1" applyFill="1" applyBorder="1" applyAlignment="1" applyProtection="1">
      <alignment horizontal="centerContinuous" vertical="center"/>
      <protection hidden="1"/>
    </xf>
    <xf numFmtId="0" fontId="60" fillId="34" borderId="13" xfId="243" applyFont="1" applyFill="1" applyBorder="1" applyAlignment="1" applyProtection="1">
      <alignment horizontal="centerContinuous" vertical="center"/>
      <protection hidden="1"/>
    </xf>
    <xf numFmtId="0" fontId="60" fillId="34" borderId="14" xfId="243" applyFont="1" applyFill="1" applyBorder="1" applyAlignment="1" applyProtection="1">
      <alignment horizontal="center" vertical="center"/>
      <protection locked="0" hidden="1"/>
    </xf>
    <xf numFmtId="0" fontId="60" fillId="34" borderId="15" xfId="243" applyFont="1" applyFill="1" applyBorder="1" applyAlignment="1" applyProtection="1">
      <alignment horizontal="center" vertical="center"/>
      <protection hidden="1"/>
    </xf>
    <xf numFmtId="0" fontId="60" fillId="34" borderId="11" xfId="243" applyFont="1" applyFill="1" applyBorder="1" applyAlignment="1" applyProtection="1">
      <alignment horizontal="center" vertical="center"/>
      <protection hidden="1"/>
    </xf>
    <xf numFmtId="0" fontId="60" fillId="34" borderId="15" xfId="243" applyFont="1" applyFill="1" applyBorder="1" applyAlignment="1" applyProtection="1">
      <alignment horizontal="center" vertical="center"/>
      <protection locked="0" hidden="1"/>
    </xf>
    <xf numFmtId="168" fontId="0" fillId="0" borderId="11" xfId="0" applyNumberFormat="1" applyBorder="1" applyAlignment="1">
      <alignment horizontal="center" vertical="center" wrapText="1"/>
    </xf>
    <xf numFmtId="10" fontId="1" fillId="0" borderId="11" xfId="258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60" fillId="28" borderId="14" xfId="243" applyFont="1" applyFill="1" applyBorder="1" applyAlignment="1" applyProtection="1">
      <alignment horizontal="center" vertical="center"/>
      <protection hidden="1"/>
    </xf>
    <xf numFmtId="0" fontId="60" fillId="28" borderId="12" xfId="243" applyFont="1" applyFill="1" applyBorder="1" applyAlignment="1" applyProtection="1">
      <alignment horizontal="centerContinuous" vertical="center"/>
      <protection hidden="1"/>
    </xf>
    <xf numFmtId="0" fontId="60" fillId="28" borderId="13" xfId="243" applyFont="1" applyFill="1" applyBorder="1" applyAlignment="1" applyProtection="1">
      <alignment horizontal="centerContinuous" vertical="center"/>
      <protection hidden="1"/>
    </xf>
    <xf numFmtId="0" fontId="60" fillId="28" borderId="14" xfId="243" applyFont="1" applyFill="1" applyBorder="1" applyAlignment="1" applyProtection="1">
      <alignment horizontal="center" vertical="center"/>
      <protection locked="0" hidden="1"/>
    </xf>
    <xf numFmtId="0" fontId="60" fillId="28" borderId="15" xfId="243" applyFont="1" applyFill="1" applyBorder="1" applyAlignment="1" applyProtection="1">
      <alignment horizontal="center" vertical="center"/>
      <protection hidden="1"/>
    </xf>
    <xf numFmtId="0" fontId="60" fillId="28" borderId="11" xfId="243" applyFont="1" applyFill="1" applyBorder="1" applyAlignment="1" applyProtection="1">
      <alignment horizontal="center" vertical="center"/>
      <protection hidden="1"/>
    </xf>
    <xf numFmtId="0" fontId="60" fillId="28" borderId="15" xfId="243" applyFont="1" applyFill="1" applyBorder="1" applyAlignment="1" applyProtection="1">
      <alignment horizontal="center" vertical="center"/>
      <protection locked="0" hidden="1"/>
    </xf>
    <xf numFmtId="169" fontId="0" fillId="0" borderId="11" xfId="0" applyNumberFormat="1" applyBorder="1" applyAlignment="1">
      <alignment horizontal="center" vertical="center" wrapText="1"/>
    </xf>
    <xf numFmtId="0" fontId="61" fillId="0" borderId="11" xfId="242" applyBorder="1" applyAlignment="1">
      <alignment vertical="center" wrapText="1"/>
    </xf>
    <xf numFmtId="169" fontId="61" fillId="0" borderId="11" xfId="242" applyNumberFormat="1" applyBorder="1" applyAlignment="1">
      <alignment horizontal="center" vertical="center" wrapText="1"/>
    </xf>
    <xf numFmtId="0" fontId="1" fillId="33" borderId="11" xfId="0" applyFont="1" applyFill="1" applyBorder="1" applyAlignment="1">
      <alignment vertical="center" wrapText="1"/>
    </xf>
    <xf numFmtId="0" fontId="0" fillId="33" borderId="11" xfId="0" applyFill="1" applyBorder="1" applyAlignment="1">
      <alignment vertical="center" wrapText="1"/>
    </xf>
    <xf numFmtId="0" fontId="0" fillId="35" borderId="11" xfId="0" applyFill="1" applyBorder="1" applyAlignment="1">
      <alignment vertical="center" wrapText="1"/>
    </xf>
    <xf numFmtId="4" fontId="4" fillId="31" borderId="11" xfId="0" applyNumberFormat="1" applyFont="1" applyFill="1" applyBorder="1" applyAlignment="1">
      <alignment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47" fillId="31" borderId="18" xfId="0" applyFont="1" applyFill="1" applyBorder="1"/>
    <xf numFmtId="0" fontId="60" fillId="34" borderId="17" xfId="243" applyFont="1" applyFill="1" applyBorder="1" applyAlignment="1">
      <alignment horizontal="center" vertical="center"/>
    </xf>
    <xf numFmtId="0" fontId="60" fillId="34" borderId="21" xfId="243" applyFont="1" applyFill="1" applyBorder="1" applyAlignment="1">
      <alignment horizontal="centerContinuous" vertical="center"/>
    </xf>
    <xf numFmtId="0" fontId="60" fillId="34" borderId="16" xfId="243" applyFont="1" applyFill="1" applyBorder="1" applyAlignment="1">
      <alignment horizontal="centerContinuous" vertical="center"/>
    </xf>
    <xf numFmtId="0" fontId="60" fillId="34" borderId="22" xfId="243" applyFont="1" applyFill="1" applyBorder="1" applyAlignment="1">
      <alignment horizontal="centerContinuous" vertical="center"/>
    </xf>
    <xf numFmtId="2" fontId="2" fillId="0" borderId="11" xfId="258" applyNumberFormat="1" applyFont="1" applyBorder="1" applyAlignment="1">
      <alignment horizontal="center" vertical="center" wrapText="1"/>
    </xf>
    <xf numFmtId="1" fontId="0" fillId="31" borderId="18" xfId="0" applyNumberFormat="1" applyFill="1" applyBorder="1" applyAlignment="1">
      <alignment horizontal="left" vertical="center" wrapText="1"/>
    </xf>
    <xf numFmtId="0" fontId="0" fillId="31" borderId="0" xfId="0" applyFill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1" fontId="0" fillId="31" borderId="12" xfId="0" applyNumberFormat="1" applyFill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/>
    </xf>
    <xf numFmtId="0" fontId="1" fillId="33" borderId="15" xfId="0" applyFont="1" applyFill="1" applyBorder="1" applyAlignment="1">
      <alignment vertical="center" wrapText="1"/>
    </xf>
    <xf numFmtId="0" fontId="1" fillId="31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10" fontId="0" fillId="31" borderId="11" xfId="258" applyNumberFormat="1" applyFont="1" applyFill="1" applyBorder="1" applyAlignment="1">
      <alignment horizontal="center" vertical="center"/>
    </xf>
    <xf numFmtId="175" fontId="0" fillId="31" borderId="11" xfId="258" applyNumberFormat="1" applyFont="1" applyFill="1" applyBorder="1" applyAlignment="1">
      <alignment horizontal="center" vertical="center"/>
    </xf>
    <xf numFmtId="175" fontId="0" fillId="0" borderId="11" xfId="258" applyNumberFormat="1" applyFont="1" applyBorder="1" applyAlignment="1">
      <alignment horizontal="center" vertical="center" wrapText="1"/>
    </xf>
    <xf numFmtId="0" fontId="0" fillId="31" borderId="11" xfId="0" applyFill="1" applyBorder="1" applyAlignment="1">
      <alignment horizontal="left" vertical="center" wrapText="1"/>
    </xf>
    <xf numFmtId="10" fontId="1" fillId="31" borderId="11" xfId="258" applyNumberFormat="1" applyFill="1" applyBorder="1" applyAlignment="1">
      <alignment horizontal="center" vertical="center"/>
    </xf>
    <xf numFmtId="175" fontId="1" fillId="31" borderId="11" xfId="258" applyNumberFormat="1" applyFill="1" applyBorder="1" applyAlignment="1">
      <alignment horizontal="center" vertical="center"/>
    </xf>
    <xf numFmtId="175" fontId="1" fillId="0" borderId="11" xfId="258" applyNumberFormat="1" applyBorder="1" applyAlignment="1">
      <alignment horizontal="center" vertical="center" wrapText="1"/>
    </xf>
    <xf numFmtId="175" fontId="0" fillId="0" borderId="11" xfId="0" applyNumberFormat="1" applyBorder="1" applyAlignment="1">
      <alignment horizontal="center" vertical="center" wrapText="1"/>
    </xf>
    <xf numFmtId="174" fontId="0" fillId="0" borderId="11" xfId="0" applyNumberFormat="1" applyBorder="1" applyAlignment="1">
      <alignment horizontal="center" vertical="center" wrapText="1"/>
    </xf>
    <xf numFmtId="175" fontId="60" fillId="0" borderId="0" xfId="258" applyNumberFormat="1" applyFont="1" applyAlignment="1">
      <alignment horizontal="left"/>
    </xf>
    <xf numFmtId="0" fontId="60" fillId="34" borderId="11" xfId="243" applyFont="1" applyFill="1" applyBorder="1" applyAlignment="1">
      <alignment horizontal="centerContinuous" vertical="center"/>
    </xf>
    <xf numFmtId="172" fontId="0" fillId="0" borderId="11" xfId="0" applyNumberFormat="1" applyBorder="1" applyAlignment="1">
      <alignment horizontal="center" vertical="center" wrapText="1"/>
    </xf>
    <xf numFmtId="0" fontId="65" fillId="37" borderId="25" xfId="222" applyFont="1" applyFill="1" applyBorder="1" applyAlignment="1" applyProtection="1">
      <alignment horizontal="center" vertical="center" wrapText="1"/>
      <protection locked="0"/>
    </xf>
    <xf numFmtId="3" fontId="66" fillId="37" borderId="28" xfId="222" applyNumberFormat="1" applyFont="1" applyFill="1" applyBorder="1" applyAlignment="1" applyProtection="1">
      <alignment horizontal="center"/>
      <protection locked="0"/>
    </xf>
    <xf numFmtId="0" fontId="68" fillId="38" borderId="11" xfId="222" applyFont="1" applyFill="1" applyBorder="1" applyAlignment="1" applyProtection="1">
      <alignment horizontal="center" vertical="center"/>
      <protection locked="0"/>
    </xf>
    <xf numFmtId="0" fontId="62" fillId="38" borderId="11" xfId="240" applyFill="1" applyBorder="1" applyAlignment="1" applyProtection="1">
      <alignment horizontal="center" vertical="center"/>
      <protection locked="0"/>
    </xf>
    <xf numFmtId="0" fontId="68" fillId="39" borderId="14" xfId="222" applyFont="1" applyFill="1" applyBorder="1" applyAlignment="1" applyProtection="1">
      <alignment horizontal="center" vertical="center"/>
      <protection locked="0"/>
    </xf>
    <xf numFmtId="0" fontId="68" fillId="39" borderId="14" xfId="222" applyFont="1" applyFill="1" applyBorder="1" applyAlignment="1" applyProtection="1">
      <alignment horizontal="center" vertical="center" wrapText="1"/>
      <protection locked="0"/>
    </xf>
    <xf numFmtId="0" fontId="69" fillId="40" borderId="29" xfId="240" applyFont="1" applyFill="1" applyBorder="1" applyAlignment="1" applyProtection="1">
      <alignment horizontal="left" vertical="center" wrapText="1"/>
      <protection locked="0"/>
    </xf>
    <xf numFmtId="3" fontId="69" fillId="40" borderId="29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29" xfId="222" applyNumberFormat="1" applyFont="1" applyFill="1" applyBorder="1" applyAlignment="1">
      <alignment horizontal="right" vertical="center" wrapText="1"/>
    </xf>
    <xf numFmtId="3" fontId="69" fillId="0" borderId="29" xfId="240" applyNumberFormat="1" applyFont="1" applyBorder="1" applyAlignment="1" applyProtection="1">
      <alignment horizontal="right" vertical="center" wrapText="1"/>
      <protection locked="0"/>
    </xf>
    <xf numFmtId="3" fontId="69" fillId="0" borderId="29" xfId="222" applyNumberFormat="1" applyFont="1" applyBorder="1" applyAlignment="1">
      <alignment horizontal="right" vertical="center" wrapText="1"/>
    </xf>
    <xf numFmtId="0" fontId="69" fillId="0" borderId="29" xfId="222" applyFont="1" applyBorder="1" applyAlignment="1" applyProtection="1">
      <alignment horizontal="left" vertical="center" wrapText="1"/>
      <protection locked="0"/>
    </xf>
    <xf numFmtId="0" fontId="69" fillId="40" borderId="29" xfId="222" applyFont="1" applyFill="1" applyBorder="1" applyAlignment="1" applyProtection="1">
      <alignment horizontal="left" vertical="center" wrapText="1"/>
      <protection locked="0"/>
    </xf>
    <xf numFmtId="0" fontId="69" fillId="40" borderId="11" xfId="240" applyFont="1" applyFill="1" applyBorder="1" applyAlignment="1" applyProtection="1">
      <alignment horizontal="left" vertical="center" wrapText="1"/>
      <protection locked="0"/>
    </xf>
    <xf numFmtId="3" fontId="69" fillId="40" borderId="11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11" xfId="222" applyNumberFormat="1" applyFont="1" applyFill="1" applyBorder="1" applyAlignment="1">
      <alignment horizontal="right" vertical="center" wrapText="1"/>
    </xf>
    <xf numFmtId="3" fontId="69" fillId="0" borderId="11" xfId="240" applyNumberFormat="1" applyFont="1" applyBorder="1" applyAlignment="1" applyProtection="1">
      <alignment horizontal="right" vertical="center" wrapText="1"/>
      <protection locked="0"/>
    </xf>
    <xf numFmtId="3" fontId="69" fillId="0" borderId="11" xfId="222" applyNumberFormat="1" applyFont="1" applyBorder="1" applyAlignment="1">
      <alignment horizontal="right" vertical="center" wrapText="1"/>
    </xf>
    <xf numFmtId="0" fontId="69" fillId="40" borderId="11" xfId="222" applyFont="1" applyFill="1" applyBorder="1" applyAlignment="1" applyProtection="1">
      <alignment horizontal="left" vertical="center" wrapText="1"/>
      <protection locked="0"/>
    </xf>
    <xf numFmtId="170" fontId="69" fillId="0" borderId="11" xfId="240" applyNumberFormat="1" applyFont="1" applyBorder="1" applyAlignment="1" applyProtection="1">
      <alignment horizontal="right" vertical="center" wrapText="1"/>
      <protection locked="0"/>
    </xf>
    <xf numFmtId="0" fontId="69" fillId="0" borderId="11" xfId="222" applyFont="1" applyBorder="1" applyAlignment="1" applyProtection="1">
      <alignment horizontal="left" vertical="center" wrapText="1"/>
      <protection locked="0"/>
    </xf>
    <xf numFmtId="0" fontId="69" fillId="40" borderId="14" xfId="240" applyFont="1" applyFill="1" applyBorder="1" applyAlignment="1" applyProtection="1">
      <alignment horizontal="left" vertical="center" wrapText="1"/>
      <protection locked="0"/>
    </xf>
    <xf numFmtId="3" fontId="69" fillId="40" borderId="14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14" xfId="222" applyNumberFormat="1" applyFont="1" applyFill="1" applyBorder="1" applyAlignment="1">
      <alignment horizontal="right" vertical="center" wrapText="1"/>
    </xf>
    <xf numFmtId="0" fontId="69" fillId="0" borderId="14" xfId="222" applyFont="1" applyBorder="1" applyAlignment="1" applyProtection="1">
      <alignment horizontal="left" vertical="center" wrapText="1"/>
      <protection locked="0"/>
    </xf>
    <xf numFmtId="3" fontId="69" fillId="0" borderId="14" xfId="240" applyNumberFormat="1" applyFont="1" applyBorder="1" applyAlignment="1" applyProtection="1">
      <alignment horizontal="right" vertical="center" wrapText="1"/>
      <protection locked="0"/>
    </xf>
    <xf numFmtId="3" fontId="69" fillId="0" borderId="14" xfId="222" applyNumberFormat="1" applyFont="1" applyBorder="1" applyAlignment="1">
      <alignment horizontal="right" vertical="center" wrapText="1"/>
    </xf>
    <xf numFmtId="0" fontId="69" fillId="40" borderId="14" xfId="222" applyFont="1" applyFill="1" applyBorder="1" applyAlignment="1" applyProtection="1">
      <alignment horizontal="left" vertical="center" wrapText="1"/>
      <protection locked="0"/>
    </xf>
    <xf numFmtId="3" fontId="69" fillId="0" borderId="15" xfId="222" applyNumberFormat="1" applyFont="1" applyBorder="1" applyAlignment="1">
      <alignment horizontal="right" vertical="center" wrapText="1"/>
    </xf>
    <xf numFmtId="0" fontId="69" fillId="40" borderId="30" xfId="240" applyFont="1" applyFill="1" applyBorder="1" applyAlignment="1" applyProtection="1">
      <alignment horizontal="left" vertical="center" wrapText="1"/>
      <protection locked="0"/>
    </xf>
    <xf numFmtId="3" fontId="69" fillId="40" borderId="30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30" xfId="222" applyNumberFormat="1" applyFont="1" applyFill="1" applyBorder="1" applyAlignment="1">
      <alignment horizontal="right" vertical="center" wrapText="1"/>
    </xf>
    <xf numFmtId="0" fontId="69" fillId="0" borderId="30" xfId="222" applyFont="1" applyBorder="1" applyAlignment="1" applyProtection="1">
      <alignment horizontal="left" vertical="center" wrapText="1"/>
      <protection locked="0"/>
    </xf>
    <xf numFmtId="3" fontId="69" fillId="0" borderId="30" xfId="240" applyNumberFormat="1" applyFont="1" applyBorder="1" applyAlignment="1" applyProtection="1">
      <alignment horizontal="right" vertical="center" wrapText="1"/>
      <protection locked="0"/>
    </xf>
    <xf numFmtId="3" fontId="69" fillId="0" borderId="30" xfId="222" applyNumberFormat="1" applyFont="1" applyBorder="1" applyAlignment="1">
      <alignment horizontal="right" vertical="center" wrapText="1"/>
    </xf>
    <xf numFmtId="3" fontId="69" fillId="40" borderId="17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17" xfId="222" applyNumberFormat="1" applyFont="1" applyFill="1" applyBorder="1" applyAlignment="1">
      <alignment horizontal="right" vertical="center" wrapText="1"/>
    </xf>
    <xf numFmtId="0" fontId="11" fillId="0" borderId="0" xfId="222" applyProtection="1">
      <protection locked="0"/>
    </xf>
    <xf numFmtId="3" fontId="68" fillId="41" borderId="15" xfId="240" applyNumberFormat="1" applyFont="1" applyFill="1" applyBorder="1" applyAlignment="1" applyProtection="1">
      <alignment horizontal="right" vertical="center" wrapText="1"/>
      <protection locked="0"/>
    </xf>
    <xf numFmtId="3" fontId="68" fillId="41" borderId="15" xfId="222" applyNumberFormat="1" applyFont="1" applyFill="1" applyBorder="1" applyAlignment="1">
      <alignment horizontal="right" vertical="center" wrapText="1"/>
    </xf>
    <xf numFmtId="0" fontId="68" fillId="0" borderId="0" xfId="222" applyFont="1" applyProtection="1">
      <protection locked="0"/>
    </xf>
    <xf numFmtId="0" fontId="69" fillId="0" borderId="0" xfId="222" applyFont="1" applyProtection="1">
      <protection locked="0"/>
    </xf>
    <xf numFmtId="0" fontId="69" fillId="31" borderId="29" xfId="240" applyFont="1" applyFill="1" applyBorder="1" applyAlignment="1">
      <alignment vertical="center" wrapText="1"/>
    </xf>
    <xf numFmtId="0" fontId="69" fillId="31" borderId="11" xfId="222" applyFont="1" applyFill="1" applyBorder="1" applyAlignment="1" applyProtection="1">
      <alignment horizontal="left" vertical="center" wrapText="1"/>
      <protection locked="0"/>
    </xf>
    <xf numFmtId="3" fontId="69" fillId="0" borderId="29" xfId="240" applyNumberFormat="1" applyFont="1" applyBorder="1" applyAlignment="1" applyProtection="1">
      <alignment horizontal="center" vertical="center" wrapText="1"/>
      <protection locked="0"/>
    </xf>
    <xf numFmtId="3" fontId="69" fillId="0" borderId="11" xfId="240" applyNumberFormat="1" applyFont="1" applyBorder="1" applyAlignment="1" applyProtection="1">
      <alignment horizontal="center" vertical="center" wrapText="1"/>
      <protection locked="0"/>
    </xf>
    <xf numFmtId="3" fontId="69" fillId="40" borderId="15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15" xfId="222" applyNumberFormat="1" applyFont="1" applyFill="1" applyBorder="1" applyAlignment="1">
      <alignment horizontal="right" vertical="center" wrapText="1"/>
    </xf>
    <xf numFmtId="0" fontId="69" fillId="0" borderId="15" xfId="222" applyFont="1" applyBorder="1" applyAlignment="1" applyProtection="1">
      <alignment horizontal="left" vertical="center" wrapText="1"/>
      <protection locked="0"/>
    </xf>
    <xf numFmtId="3" fontId="69" fillId="0" borderId="15" xfId="240" applyNumberFormat="1" applyFont="1" applyBorder="1" applyAlignment="1" applyProtection="1">
      <alignment horizontal="right" vertical="center" wrapText="1"/>
      <protection locked="0"/>
    </xf>
    <xf numFmtId="3" fontId="69" fillId="0" borderId="15" xfId="240" applyNumberFormat="1" applyFont="1" applyBorder="1" applyAlignment="1" applyProtection="1">
      <alignment horizontal="center" vertical="center" wrapText="1"/>
      <protection locked="0"/>
    </xf>
    <xf numFmtId="0" fontId="71" fillId="0" borderId="29" xfId="222" applyFont="1" applyBorder="1" applyAlignment="1" applyProtection="1">
      <alignment horizontal="left" vertical="center" wrapText="1"/>
      <protection locked="0"/>
    </xf>
    <xf numFmtId="10" fontId="0" fillId="31" borderId="0" xfId="0" applyNumberFormat="1" applyFill="1"/>
    <xf numFmtId="10" fontId="4" fillId="31" borderId="0" xfId="258" applyNumberFormat="1" applyFont="1" applyFill="1"/>
    <xf numFmtId="10" fontId="39" fillId="31" borderId="11" xfId="258" applyNumberFormat="1" applyFont="1" applyFill="1" applyBorder="1" applyAlignment="1">
      <alignment horizontal="center" vertical="center" wrapText="1"/>
    </xf>
    <xf numFmtId="10" fontId="4" fillId="31" borderId="11" xfId="258" applyNumberFormat="1" applyFont="1" applyFill="1" applyBorder="1" applyAlignment="1">
      <alignment horizontal="center" vertical="center" wrapText="1"/>
    </xf>
    <xf numFmtId="10" fontId="0" fillId="31" borderId="11" xfId="0" applyNumberFormat="1" applyFill="1" applyBorder="1" applyAlignment="1">
      <alignment horizontal="center" vertical="center" wrapText="1"/>
    </xf>
    <xf numFmtId="10" fontId="39" fillId="31" borderId="11" xfId="0" applyNumberFormat="1" applyFont="1" applyFill="1" applyBorder="1" applyAlignment="1">
      <alignment horizontal="center" vertical="center" wrapText="1"/>
    </xf>
    <xf numFmtId="169" fontId="4" fillId="42" borderId="11" xfId="258" applyNumberFormat="1" applyFont="1" applyFill="1" applyBorder="1" applyAlignment="1" applyProtection="1">
      <alignment horizontal="center" vertical="center"/>
      <protection locked="0"/>
    </xf>
    <xf numFmtId="0" fontId="0" fillId="41" borderId="11" xfId="0" applyFill="1" applyBorder="1" applyAlignment="1">
      <alignment vertical="center" wrapText="1"/>
    </xf>
    <xf numFmtId="0" fontId="0" fillId="28" borderId="11" xfId="0" applyFill="1" applyBorder="1" applyAlignment="1">
      <alignment vertical="center" wrapText="1"/>
    </xf>
    <xf numFmtId="0" fontId="11" fillId="0" borderId="0" xfId="223" applyFont="1"/>
    <xf numFmtId="3" fontId="11" fillId="0" borderId="0" xfId="223" applyNumberFormat="1" applyFont="1"/>
    <xf numFmtId="0" fontId="75" fillId="0" borderId="0" xfId="223" applyFont="1" applyAlignment="1">
      <alignment vertical="center"/>
    </xf>
    <xf numFmtId="0" fontId="65" fillId="37" borderId="39" xfId="222" applyFont="1" applyFill="1" applyBorder="1" applyAlignment="1" applyProtection="1">
      <alignment horizontal="center" vertical="center" wrapText="1"/>
      <protection locked="0"/>
    </xf>
    <xf numFmtId="3" fontId="66" fillId="37" borderId="40" xfId="222" applyNumberFormat="1" applyFont="1" applyFill="1" applyBorder="1" applyAlignment="1" applyProtection="1">
      <alignment horizontal="center"/>
      <protection locked="0"/>
    </xf>
    <xf numFmtId="0" fontId="68" fillId="22" borderId="1" xfId="222" applyFont="1" applyFill="1" applyBorder="1" applyProtection="1">
      <protection locked="0"/>
    </xf>
    <xf numFmtId="0" fontId="69" fillId="22" borderId="0" xfId="222" applyFont="1" applyFill="1" applyProtection="1">
      <protection locked="0"/>
    </xf>
    <xf numFmtId="0" fontId="0" fillId="32" borderId="17" xfId="0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31" borderId="14" xfId="0" applyFill="1" applyBorder="1" applyAlignment="1">
      <alignment horizontal="center" vertical="center"/>
    </xf>
    <xf numFmtId="0" fontId="0" fillId="31" borderId="14" xfId="0" applyFill="1" applyBorder="1" applyAlignment="1">
      <alignment vertical="center"/>
    </xf>
    <xf numFmtId="43" fontId="0" fillId="31" borderId="14" xfId="136" applyFont="1" applyFill="1" applyBorder="1" applyAlignment="1">
      <alignment vertical="center"/>
    </xf>
    <xf numFmtId="0" fontId="0" fillId="31" borderId="17" xfId="0" applyFill="1" applyBorder="1" applyAlignment="1">
      <alignment horizontal="center" vertical="center"/>
    </xf>
    <xf numFmtId="0" fontId="0" fillId="31" borderId="17" xfId="0" applyFill="1" applyBorder="1" applyAlignment="1">
      <alignment vertical="center"/>
    </xf>
    <xf numFmtId="43" fontId="0" fillId="31" borderId="17" xfId="136" applyFont="1" applyFill="1" applyBorder="1" applyAlignment="1">
      <alignment vertical="center"/>
    </xf>
    <xf numFmtId="166" fontId="0" fillId="31" borderId="17" xfId="0" applyNumberFormat="1" applyFill="1" applyBorder="1" applyAlignment="1">
      <alignment vertical="center"/>
    </xf>
    <xf numFmtId="0" fontId="0" fillId="31" borderId="15" xfId="0" applyFill="1" applyBorder="1" applyAlignment="1">
      <alignment vertical="center"/>
    </xf>
    <xf numFmtId="43" fontId="0" fillId="31" borderId="15" xfId="136" applyFont="1" applyFill="1" applyBorder="1" applyAlignment="1">
      <alignment vertical="center"/>
    </xf>
    <xf numFmtId="0" fontId="0" fillId="32" borderId="17" xfId="0" applyFill="1" applyBorder="1" applyAlignment="1">
      <alignment vertical="center"/>
    </xf>
    <xf numFmtId="43" fontId="0" fillId="32" borderId="17" xfId="136" applyFont="1" applyFill="1" applyBorder="1" applyAlignment="1">
      <alignment vertical="center"/>
    </xf>
    <xf numFmtId="43" fontId="0" fillId="31" borderId="17" xfId="0" applyNumberFormat="1" applyFill="1" applyBorder="1" applyAlignment="1">
      <alignment vertical="center"/>
    </xf>
    <xf numFmtId="0" fontId="0" fillId="31" borderId="15" xfId="0" applyFill="1" applyBorder="1" applyAlignment="1">
      <alignment horizontal="center" vertical="center"/>
    </xf>
    <xf numFmtId="43" fontId="0" fillId="31" borderId="17" xfId="136" applyFont="1" applyFill="1" applyBorder="1" applyAlignment="1">
      <alignment vertical="center" wrapText="1"/>
    </xf>
    <xf numFmtId="166" fontId="0" fillId="31" borderId="17" xfId="0" applyNumberFormat="1" applyFill="1" applyBorder="1" applyAlignment="1">
      <alignment vertical="center" wrapText="1"/>
    </xf>
    <xf numFmtId="43" fontId="0" fillId="31" borderId="14" xfId="136" applyFont="1" applyFill="1" applyBorder="1" applyAlignment="1">
      <alignment vertical="center" wrapText="1"/>
    </xf>
    <xf numFmtId="0" fontId="1" fillId="31" borderId="17" xfId="0" applyFont="1" applyFill="1" applyBorder="1" applyAlignment="1">
      <alignment vertical="center" wrapText="1"/>
    </xf>
    <xf numFmtId="43" fontId="0" fillId="32" borderId="17" xfId="136" applyFont="1" applyFill="1" applyBorder="1" applyAlignment="1">
      <alignment vertical="center" wrapText="1"/>
    </xf>
    <xf numFmtId="0" fontId="0" fillId="32" borderId="17" xfId="0" applyFill="1" applyBorder="1" applyAlignment="1">
      <alignment vertical="center" wrapText="1"/>
    </xf>
    <xf numFmtId="43" fontId="0" fillId="31" borderId="15" xfId="136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31" borderId="17" xfId="0" applyFont="1" applyFill="1" applyBorder="1" applyAlignment="1">
      <alignment horizontal="center" vertical="center" wrapText="1"/>
    </xf>
    <xf numFmtId="0" fontId="1" fillId="31" borderId="17" xfId="0" applyFont="1" applyFill="1" applyBorder="1" applyAlignment="1">
      <alignment horizontal="center" vertical="center"/>
    </xf>
    <xf numFmtId="43" fontId="0" fillId="0" borderId="14" xfId="136" applyFont="1" applyBorder="1" applyAlignment="1">
      <alignment horizontal="center"/>
    </xf>
    <xf numFmtId="0" fontId="0" fillId="0" borderId="0" xfId="0" applyAlignment="1">
      <alignment vertical="center" wrapText="1"/>
    </xf>
    <xf numFmtId="0" fontId="11" fillId="0" borderId="0" xfId="239"/>
    <xf numFmtId="0" fontId="34" fillId="34" borderId="11" xfId="239" applyFont="1" applyFill="1" applyBorder="1" applyAlignment="1">
      <alignment horizontal="left" vertical="center" wrapText="1"/>
    </xf>
    <xf numFmtId="0" fontId="34" fillId="34" borderId="11" xfId="239" applyFont="1" applyFill="1" applyBorder="1" applyAlignment="1">
      <alignment horizontal="center" vertical="center" wrapText="1"/>
    </xf>
    <xf numFmtId="0" fontId="11" fillId="0" borderId="0" xfId="239" applyAlignment="1">
      <alignment horizontal="center" vertical="center" wrapText="1"/>
    </xf>
    <xf numFmtId="0" fontId="11" fillId="0" borderId="11" xfId="239" applyBorder="1"/>
    <xf numFmtId="166" fontId="11" fillId="0" borderId="11" xfId="194" applyBorder="1"/>
    <xf numFmtId="0" fontId="34" fillId="0" borderId="11" xfId="239" applyFont="1" applyBorder="1"/>
    <xf numFmtId="166" fontId="34" fillId="0" borderId="11" xfId="194" applyFont="1" applyBorder="1"/>
    <xf numFmtId="0" fontId="34" fillId="0" borderId="0" xfId="239" applyFont="1"/>
    <xf numFmtId="9" fontId="11" fillId="0" borderId="11" xfId="239" applyNumberFormat="1" applyBorder="1"/>
    <xf numFmtId="2" fontId="11" fillId="0" borderId="11" xfId="239" applyNumberFormat="1" applyBorder="1"/>
    <xf numFmtId="2" fontId="34" fillId="0" borderId="11" xfId="239" applyNumberFormat="1" applyFont="1" applyBorder="1"/>
    <xf numFmtId="166" fontId="34" fillId="0" borderId="0" xfId="194" applyFont="1"/>
    <xf numFmtId="2" fontId="34" fillId="0" borderId="0" xfId="239" applyNumberFormat="1" applyFont="1"/>
    <xf numFmtId="0" fontId="11" fillId="0" borderId="18" xfId="239" applyBorder="1"/>
    <xf numFmtId="0" fontId="34" fillId="43" borderId="11" xfId="239" applyFont="1" applyFill="1" applyBorder="1" applyAlignment="1">
      <alignment horizontal="left" vertical="center" wrapText="1"/>
    </xf>
    <xf numFmtId="0" fontId="34" fillId="43" borderId="11" xfId="239" applyFont="1" applyFill="1" applyBorder="1" applyAlignment="1">
      <alignment horizontal="center" vertical="center" wrapText="1"/>
    </xf>
    <xf numFmtId="0" fontId="11" fillId="32" borderId="0" xfId="239" applyFill="1"/>
    <xf numFmtId="0" fontId="11" fillId="31" borderId="0" xfId="239" applyFill="1"/>
    <xf numFmtId="0" fontId="70" fillId="0" borderId="0" xfId="239" applyFont="1"/>
    <xf numFmtId="0" fontId="34" fillId="0" borderId="0" xfId="239" applyFont="1" applyAlignment="1">
      <alignment horizontal="right"/>
    </xf>
    <xf numFmtId="0" fontId="11" fillId="0" borderId="0" xfId="241"/>
    <xf numFmtId="0" fontId="34" fillId="34" borderId="11" xfId="241" applyFont="1" applyFill="1" applyBorder="1" applyAlignment="1">
      <alignment horizontal="left" vertical="center" wrapText="1"/>
    </xf>
    <xf numFmtId="0" fontId="34" fillId="34" borderId="11" xfId="241" applyFont="1" applyFill="1" applyBorder="1" applyAlignment="1">
      <alignment horizontal="center" vertical="center" wrapText="1"/>
    </xf>
    <xf numFmtId="0" fontId="11" fillId="0" borderId="11" xfId="241" applyBorder="1"/>
    <xf numFmtId="4" fontId="34" fillId="0" borderId="11" xfId="241" applyNumberFormat="1" applyFont="1" applyBorder="1"/>
    <xf numFmtId="4" fontId="11" fillId="0" borderId="11" xfId="194" applyNumberFormat="1" applyBorder="1"/>
    <xf numFmtId="0" fontId="34" fillId="0" borderId="11" xfId="241" applyFont="1" applyBorder="1"/>
    <xf numFmtId="4" fontId="47" fillId="32" borderId="0" xfId="0" applyNumberFormat="1" applyFont="1" applyFill="1"/>
    <xf numFmtId="49" fontId="77" fillId="34" borderId="41" xfId="0" applyNumberFormat="1" applyFont="1" applyFill="1" applyBorder="1" applyAlignment="1">
      <alignment horizontal="center" vertical="center" wrapText="1"/>
    </xf>
    <xf numFmtId="0" fontId="14" fillId="31" borderId="42" xfId="0" applyFont="1" applyFill="1" applyBorder="1" applyAlignment="1">
      <alignment wrapText="1"/>
    </xf>
    <xf numFmtId="0" fontId="14" fillId="31" borderId="43" xfId="0" applyFont="1" applyFill="1" applyBorder="1" applyAlignment="1">
      <alignment wrapText="1"/>
    </xf>
    <xf numFmtId="0" fontId="14" fillId="31" borderId="43" xfId="0" applyFont="1" applyFill="1" applyBorder="1" applyAlignment="1">
      <alignment horizontal="center" wrapText="1"/>
    </xf>
    <xf numFmtId="49" fontId="14" fillId="31" borderId="43" xfId="0" applyNumberFormat="1" applyFont="1" applyFill="1" applyBorder="1" applyAlignment="1">
      <alignment wrapText="1"/>
    </xf>
    <xf numFmtId="0" fontId="14" fillId="31" borderId="44" xfId="0" applyFont="1" applyFill="1" applyBorder="1" applyAlignment="1">
      <alignment horizontal="center" wrapText="1"/>
    </xf>
    <xf numFmtId="0" fontId="14" fillId="31" borderId="45" xfId="0" applyFont="1" applyFill="1" applyBorder="1" applyAlignment="1">
      <alignment wrapText="1"/>
    </xf>
    <xf numFmtId="2" fontId="0" fillId="0" borderId="11" xfId="0" applyNumberFormat="1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0" fontId="0" fillId="0" borderId="11" xfId="0" applyBorder="1"/>
    <xf numFmtId="0" fontId="0" fillId="31" borderId="0" xfId="0" applyFill="1" applyAlignment="1">
      <alignment horizontal="center" wrapText="1"/>
    </xf>
    <xf numFmtId="0" fontId="0" fillId="31" borderId="11" xfId="0" applyFill="1" applyBorder="1" applyAlignment="1">
      <alignment horizontal="center" wrapText="1"/>
    </xf>
    <xf numFmtId="0" fontId="71" fillId="40" borderId="11" xfId="240" applyFont="1" applyFill="1" applyBorder="1" applyAlignment="1" applyProtection="1">
      <alignment horizontal="left" vertical="center" wrapText="1"/>
      <protection locked="0"/>
    </xf>
    <xf numFmtId="0" fontId="0" fillId="31" borderId="15" xfId="0" applyFill="1" applyBorder="1" applyAlignment="1">
      <alignment horizontal="center"/>
    </xf>
    <xf numFmtId="0" fontId="0" fillId="31" borderId="15" xfId="0" applyFill="1" applyBorder="1"/>
    <xf numFmtId="166" fontId="0" fillId="31" borderId="15" xfId="0" applyNumberFormat="1" applyFill="1" applyBorder="1" applyAlignment="1">
      <alignment vertical="center" wrapText="1"/>
    </xf>
    <xf numFmtId="3" fontId="69" fillId="0" borderId="32" xfId="222" applyNumberFormat="1" applyFont="1" applyBorder="1" applyAlignment="1">
      <alignment horizontal="right" vertical="center" wrapText="1"/>
    </xf>
    <xf numFmtId="0" fontId="76" fillId="40" borderId="11" xfId="240" applyFont="1" applyFill="1" applyBorder="1" applyAlignment="1" applyProtection="1">
      <alignment horizontal="left" vertical="center" wrapText="1"/>
      <protection locked="0"/>
    </xf>
    <xf numFmtId="3" fontId="76" fillId="40" borderId="11" xfId="240" applyNumberFormat="1" applyFont="1" applyFill="1" applyBorder="1" applyAlignment="1" applyProtection="1">
      <alignment horizontal="right" vertical="center" wrapText="1"/>
      <protection locked="0"/>
    </xf>
    <xf numFmtId="2" fontId="4" fillId="0" borderId="11" xfId="0" applyNumberFormat="1" applyFont="1" applyBorder="1" applyAlignment="1">
      <alignment horizontal="left" vertical="center" wrapText="1"/>
    </xf>
    <xf numFmtId="0" fontId="69" fillId="40" borderId="19" xfId="222" applyFont="1" applyFill="1" applyBorder="1" applyAlignment="1" applyProtection="1">
      <alignment horizontal="left" vertical="center" wrapText="1"/>
      <protection locked="0"/>
    </xf>
    <xf numFmtId="0" fontId="69" fillId="40" borderId="20" xfId="222" applyFont="1" applyFill="1" applyBorder="1" applyAlignment="1" applyProtection="1">
      <alignment horizontal="left" vertical="center" wrapText="1"/>
      <protection locked="0"/>
    </xf>
    <xf numFmtId="43" fontId="1" fillId="32" borderId="17" xfId="136" applyFill="1" applyBorder="1" applyAlignment="1">
      <alignment vertical="center" wrapText="1"/>
    </xf>
    <xf numFmtId="0" fontId="47" fillId="31" borderId="17" xfId="0" applyFont="1" applyFill="1" applyBorder="1" applyAlignment="1">
      <alignment horizontal="center" vertical="center" wrapText="1"/>
    </xf>
    <xf numFmtId="0" fontId="0" fillId="31" borderId="17" xfId="0" applyFill="1" applyBorder="1" applyAlignment="1">
      <alignment horizontal="center"/>
    </xf>
    <xf numFmtId="3" fontId="71" fillId="40" borderId="11" xfId="222" applyNumberFormat="1" applyFont="1" applyFill="1" applyBorder="1" applyAlignment="1">
      <alignment horizontal="right" vertical="center" wrapText="1"/>
    </xf>
    <xf numFmtId="0" fontId="71" fillId="31" borderId="11" xfId="222" applyFont="1" applyFill="1" applyBorder="1" applyAlignment="1" applyProtection="1">
      <alignment horizontal="left" vertical="center" wrapText="1"/>
      <protection locked="0"/>
    </xf>
    <xf numFmtId="9" fontId="11" fillId="22" borderId="11" xfId="239" applyNumberFormat="1" applyFill="1" applyBorder="1"/>
    <xf numFmtId="10" fontId="61" fillId="0" borderId="11" xfId="242" applyNumberFormat="1" applyBorder="1" applyAlignment="1">
      <alignment vertical="center" wrapText="1"/>
    </xf>
    <xf numFmtId="4" fontId="61" fillId="0" borderId="11" xfId="242" applyNumberFormat="1" applyBorder="1" applyAlignment="1">
      <alignment vertical="center" wrapText="1"/>
    </xf>
    <xf numFmtId="1" fontId="61" fillId="0" borderId="11" xfId="242" applyNumberFormat="1" applyBorder="1" applyAlignment="1">
      <alignment vertical="center" wrapText="1"/>
    </xf>
    <xf numFmtId="10" fontId="61" fillId="0" borderId="11" xfId="242" applyNumberFormat="1" applyBorder="1" applyAlignment="1">
      <alignment horizontal="center" vertical="center" wrapText="1"/>
    </xf>
    <xf numFmtId="4" fontId="60" fillId="0" borderId="0" xfId="243" applyNumberFormat="1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4" fillId="31" borderId="11" xfId="0" applyFont="1" applyFill="1" applyBorder="1" applyAlignment="1">
      <alignment horizontal="center" vertical="center" wrapText="1"/>
    </xf>
    <xf numFmtId="170" fontId="4" fillId="31" borderId="11" xfId="0" applyNumberFormat="1" applyFont="1" applyFill="1" applyBorder="1" applyAlignment="1">
      <alignment horizontal="center" vertical="center" wrapText="1"/>
    </xf>
    <xf numFmtId="9" fontId="0" fillId="0" borderId="0" xfId="258" applyFont="1"/>
    <xf numFmtId="168" fontId="4" fillId="31" borderId="15" xfId="0" applyNumberFormat="1" applyFont="1" applyFill="1" applyBorder="1" applyAlignment="1">
      <alignment horizontal="center" vertical="center" wrapText="1"/>
    </xf>
    <xf numFmtId="10" fontId="0" fillId="44" borderId="0" xfId="0" applyNumberFormat="1" applyFill="1"/>
    <xf numFmtId="9" fontId="4" fillId="44" borderId="0" xfId="258" applyFont="1" applyFill="1"/>
    <xf numFmtId="170" fontId="4" fillId="44" borderId="11" xfId="0" applyNumberFormat="1" applyFont="1" applyFill="1" applyBorder="1" applyAlignment="1">
      <alignment horizontal="center" vertical="center" wrapText="1"/>
    </xf>
    <xf numFmtId="170" fontId="4" fillId="44" borderId="15" xfId="0" applyNumberFormat="1" applyFont="1" applyFill="1" applyBorder="1" applyAlignment="1">
      <alignment horizontal="center" vertical="center" wrapText="1"/>
    </xf>
    <xf numFmtId="43" fontId="69" fillId="0" borderId="0" xfId="136" applyFont="1" applyProtection="1">
      <protection locked="0"/>
    </xf>
    <xf numFmtId="3" fontId="69" fillId="0" borderId="46" xfId="240" applyNumberFormat="1" applyFont="1" applyBorder="1" applyAlignment="1" applyProtection="1">
      <alignment horizontal="right" vertical="center" wrapText="1"/>
      <protection locked="0"/>
    </xf>
    <xf numFmtId="0" fontId="69" fillId="0" borderId="46" xfId="222" applyFont="1" applyBorder="1" applyAlignment="1" applyProtection="1">
      <alignment horizontal="left" vertical="center" wrapText="1"/>
      <protection locked="0"/>
    </xf>
    <xf numFmtId="3" fontId="69" fillId="0" borderId="46" xfId="240" applyNumberFormat="1" applyFont="1" applyBorder="1" applyAlignment="1" applyProtection="1">
      <alignment horizontal="center" vertical="center" wrapText="1"/>
      <protection locked="0"/>
    </xf>
    <xf numFmtId="168" fontId="11" fillId="0" borderId="0" xfId="223" applyNumberFormat="1" applyFont="1"/>
    <xf numFmtId="0" fontId="4" fillId="0" borderId="0" xfId="223"/>
    <xf numFmtId="0" fontId="89" fillId="0" borderId="0" xfId="216" applyFont="1" applyAlignment="1">
      <alignment vertical="center" wrapText="1"/>
    </xf>
    <xf numFmtId="0" fontId="90" fillId="0" borderId="0" xfId="216" applyFont="1" applyAlignment="1">
      <alignment vertical="center" wrapText="1"/>
    </xf>
    <xf numFmtId="4" fontId="90" fillId="45" borderId="11" xfId="210" applyNumberFormat="1" applyFont="1" applyFill="1" applyBorder="1" applyAlignment="1">
      <alignment horizontal="center" vertical="center" wrapText="1"/>
    </xf>
    <xf numFmtId="3" fontId="89" fillId="49" borderId="11" xfId="210" applyNumberFormat="1" applyFont="1" applyFill="1" applyBorder="1" applyAlignment="1">
      <alignment vertical="center" wrapText="1"/>
    </xf>
    <xf numFmtId="0" fontId="89" fillId="0" borderId="47" xfId="210" applyFont="1" applyBorder="1" applyAlignment="1">
      <alignment vertical="center" wrapText="1"/>
    </xf>
    <xf numFmtId="0" fontId="89" fillId="0" borderId="30" xfId="210" applyFont="1" applyBorder="1" applyAlignment="1">
      <alignment vertical="center" wrapText="1"/>
    </xf>
    <xf numFmtId="4" fontId="89" fillId="0" borderId="30" xfId="210" applyNumberFormat="1" applyFont="1" applyBorder="1" applyAlignment="1">
      <alignment vertical="center" wrapText="1"/>
    </xf>
    <xf numFmtId="10" fontId="89" fillId="0" borderId="30" xfId="210" applyNumberFormat="1" applyFont="1" applyBorder="1" applyAlignment="1">
      <alignment vertical="center" wrapText="1"/>
    </xf>
    <xf numFmtId="0" fontId="89" fillId="0" borderId="48" xfId="210" applyFont="1" applyBorder="1" applyAlignment="1">
      <alignment vertical="center" wrapText="1"/>
    </xf>
    <xf numFmtId="4" fontId="89" fillId="0" borderId="11" xfId="210" applyNumberFormat="1" applyFont="1" applyBorder="1" applyAlignment="1">
      <alignment vertical="center" wrapText="1"/>
    </xf>
    <xf numFmtId="10" fontId="89" fillId="0" borderId="11" xfId="210" applyNumberFormat="1" applyFont="1" applyBorder="1" applyAlignment="1">
      <alignment vertical="center" wrapText="1"/>
    </xf>
    <xf numFmtId="168" fontId="89" fillId="0" borderId="11" xfId="210" applyNumberFormat="1" applyFont="1" applyBorder="1" applyAlignment="1">
      <alignment vertical="center" wrapText="1"/>
    </xf>
    <xf numFmtId="168" fontId="89" fillId="0" borderId="11" xfId="210" applyNumberFormat="1" applyFont="1" applyBorder="1" applyAlignment="1">
      <alignment horizontal="right" vertical="center" wrapText="1"/>
    </xf>
    <xf numFmtId="0" fontId="89" fillId="0" borderId="0" xfId="216" applyFont="1" applyAlignment="1">
      <alignment horizontal="left" vertical="center" wrapText="1"/>
    </xf>
    <xf numFmtId="0" fontId="89" fillId="0" borderId="0" xfId="210" applyFont="1" applyAlignment="1">
      <alignment vertical="center" wrapText="1"/>
    </xf>
    <xf numFmtId="10" fontId="89" fillId="0" borderId="0" xfId="210" applyNumberFormat="1" applyFont="1" applyAlignment="1">
      <alignment vertical="center" wrapText="1"/>
    </xf>
    <xf numFmtId="0" fontId="90" fillId="0" borderId="0" xfId="216" applyFont="1" applyAlignment="1">
      <alignment horizontal="left" vertical="center" wrapText="1"/>
    </xf>
    <xf numFmtId="0" fontId="89" fillId="0" borderId="11" xfId="210" applyFont="1" applyBorder="1" applyAlignment="1">
      <alignment vertical="center" wrapText="1"/>
    </xf>
    <xf numFmtId="0" fontId="91" fillId="45" borderId="49" xfId="216" applyFont="1" applyFill="1" applyBorder="1" applyAlignment="1">
      <alignment horizontal="center" vertical="center" wrapText="1"/>
    </xf>
    <xf numFmtId="0" fontId="91" fillId="45" borderId="11" xfId="216" applyFont="1" applyFill="1" applyBorder="1" applyAlignment="1">
      <alignment horizontal="center" vertical="center" wrapText="1"/>
    </xf>
    <xf numFmtId="0" fontId="91" fillId="45" borderId="47" xfId="216" applyFont="1" applyFill="1" applyBorder="1" applyAlignment="1">
      <alignment horizontal="center" vertical="center" wrapText="1"/>
    </xf>
    <xf numFmtId="0" fontId="92" fillId="0" borderId="50" xfId="216" applyFont="1" applyBorder="1" applyAlignment="1">
      <alignment horizontal="left" vertical="center" wrapText="1"/>
    </xf>
    <xf numFmtId="0" fontId="89" fillId="0" borderId="30" xfId="216" applyFont="1" applyBorder="1" applyAlignment="1">
      <alignment horizontal="left" vertical="center" wrapText="1"/>
    </xf>
    <xf numFmtId="0" fontId="89" fillId="0" borderId="48" xfId="216" applyFont="1" applyBorder="1" applyAlignment="1">
      <alignment horizontal="left" vertical="center" wrapText="1"/>
    </xf>
    <xf numFmtId="0" fontId="89" fillId="0" borderId="49" xfId="216" quotePrefix="1" applyFont="1" applyBorder="1"/>
    <xf numFmtId="180" fontId="89" fillId="0" borderId="11" xfId="216" applyNumberFormat="1" applyFont="1" applyBorder="1" applyAlignment="1">
      <alignment horizontal="right" vertical="center" wrapText="1"/>
    </xf>
    <xf numFmtId="181" fontId="89" fillId="0" borderId="11" xfId="216" applyNumberFormat="1" applyFont="1" applyBorder="1" applyAlignment="1">
      <alignment horizontal="right" vertical="center" wrapText="1"/>
    </xf>
    <xf numFmtId="0" fontId="89" fillId="0" borderId="49" xfId="216" applyFont="1" applyBorder="1"/>
    <xf numFmtId="0" fontId="91" fillId="45" borderId="50" xfId="216" applyFont="1" applyFill="1" applyBorder="1" applyAlignment="1">
      <alignment horizontal="center" vertical="center" wrapText="1"/>
    </xf>
    <xf numFmtId="181" fontId="91" fillId="45" borderId="30" xfId="216" applyNumberFormat="1" applyFont="1" applyFill="1" applyBorder="1" applyAlignment="1">
      <alignment horizontal="right" vertical="center" wrapText="1"/>
    </xf>
    <xf numFmtId="181" fontId="4" fillId="0" borderId="0" xfId="223" applyNumberFormat="1"/>
    <xf numFmtId="180" fontId="4" fillId="0" borderId="0" xfId="223" applyNumberFormat="1"/>
    <xf numFmtId="0" fontId="89" fillId="0" borderId="14" xfId="210" applyFont="1" applyBorder="1" applyAlignment="1">
      <alignment vertical="center" wrapText="1"/>
    </xf>
    <xf numFmtId="0" fontId="89" fillId="0" borderId="51" xfId="210" applyFont="1" applyBorder="1" applyAlignment="1">
      <alignment vertical="center" wrapText="1"/>
    </xf>
    <xf numFmtId="168" fontId="89" fillId="0" borderId="14" xfId="210" applyNumberFormat="1" applyFont="1" applyBorder="1" applyAlignment="1">
      <alignment horizontal="right" vertical="center" wrapText="1"/>
    </xf>
    <xf numFmtId="0" fontId="90" fillId="0" borderId="0" xfId="223" applyFont="1"/>
    <xf numFmtId="0" fontId="90" fillId="0" borderId="0" xfId="223" applyFont="1"/>
    <xf numFmtId="0" fontId="89" fillId="0" borderId="0" xfId="216" applyFont="1"/>
    <xf numFmtId="0" fontId="89" fillId="0" borderId="0" xfId="210" applyFont="1"/>
    <xf numFmtId="0" fontId="89" fillId="0" borderId="0" xfId="223" applyFont="1"/>
    <xf numFmtId="0" fontId="90" fillId="0" borderId="0" xfId="210" applyFont="1"/>
    <xf numFmtId="0" fontId="90" fillId="0" borderId="0" xfId="216" applyFont="1"/>
    <xf numFmtId="4" fontId="89" fillId="0" borderId="0" xfId="223" applyNumberFormat="1" applyFont="1"/>
    <xf numFmtId="2" fontId="89" fillId="0" borderId="11" xfId="0" applyNumberFormat="1" applyFont="1" applyBorder="1" applyAlignment="1">
      <alignment vertical="center" wrapText="1"/>
    </xf>
    <xf numFmtId="3" fontId="89" fillId="0" borderId="0" xfId="223" applyNumberFormat="1" applyFont="1"/>
    <xf numFmtId="2" fontId="11" fillId="0" borderId="0" xfId="223" applyNumberFormat="1" applyFont="1"/>
    <xf numFmtId="0" fontId="73" fillId="46" borderId="52" xfId="223" applyFont="1" applyFill="1" applyBorder="1" applyAlignment="1">
      <alignment horizontal="center" vertical="center" wrapText="1"/>
    </xf>
    <xf numFmtId="3" fontId="34" fillId="46" borderId="46" xfId="223" applyNumberFormat="1" applyFont="1" applyFill="1" applyBorder="1" applyAlignment="1">
      <alignment horizontal="center"/>
    </xf>
    <xf numFmtId="0" fontId="73" fillId="46" borderId="53" xfId="223" applyFont="1" applyFill="1" applyBorder="1" applyAlignment="1">
      <alignment horizontal="center" vertical="center" wrapText="1"/>
    </xf>
    <xf numFmtId="0" fontId="73" fillId="0" borderId="11" xfId="223" applyFont="1" applyBorder="1" applyAlignment="1">
      <alignment horizontal="center" vertical="center" wrapText="1"/>
    </xf>
    <xf numFmtId="3" fontId="74" fillId="0" borderId="11" xfId="223" applyNumberFormat="1" applyFont="1" applyBorder="1" applyAlignment="1">
      <alignment horizontal="center" vertical="center" wrapText="1"/>
    </xf>
    <xf numFmtId="3" fontId="73" fillId="0" borderId="11" xfId="223" applyNumberFormat="1" applyFont="1" applyBorder="1" applyAlignment="1">
      <alignment horizontal="center" vertical="center" wrapText="1"/>
    </xf>
    <xf numFmtId="0" fontId="73" fillId="50" borderId="11" xfId="223" applyFont="1" applyFill="1" applyBorder="1" applyAlignment="1">
      <alignment horizontal="center" vertical="center" wrapText="1"/>
    </xf>
    <xf numFmtId="3" fontId="73" fillId="50" borderId="11" xfId="223" applyNumberFormat="1" applyFont="1" applyFill="1" applyBorder="1" applyAlignment="1">
      <alignment horizontal="center" vertical="center" wrapText="1"/>
    </xf>
    <xf numFmtId="10" fontId="73" fillId="46" borderId="11" xfId="258" applyNumberFormat="1" applyFont="1" applyFill="1" applyBorder="1" applyAlignment="1">
      <alignment horizontal="center" vertical="center" wrapText="1"/>
    </xf>
    <xf numFmtId="0" fontId="93" fillId="51" borderId="11" xfId="0" applyFont="1" applyFill="1" applyBorder="1" applyAlignment="1">
      <alignment vertical="center"/>
    </xf>
    <xf numFmtId="0" fontId="93" fillId="51" borderId="11" xfId="0" applyFont="1" applyFill="1" applyBorder="1" applyAlignment="1">
      <alignment horizontal="center" vertical="center" wrapText="1"/>
    </xf>
    <xf numFmtId="0" fontId="94" fillId="0" borderId="0" xfId="0" applyFont="1" applyAlignment="1">
      <alignment vertical="top" wrapText="1"/>
    </xf>
    <xf numFmtId="3" fontId="94" fillId="0" borderId="0" xfId="0" applyNumberFormat="1" applyFont="1" applyAlignment="1">
      <alignment vertical="center"/>
    </xf>
    <xf numFmtId="0" fontId="69" fillId="40" borderId="49" xfId="240" applyFont="1" applyFill="1" applyBorder="1" applyAlignment="1" applyProtection="1">
      <alignment horizontal="left" vertical="center" wrapText="1"/>
      <protection locked="0"/>
    </xf>
    <xf numFmtId="0" fontId="69" fillId="40" borderId="54" xfId="222" applyFont="1" applyFill="1" applyBorder="1" applyAlignment="1" applyProtection="1">
      <alignment horizontal="left" vertical="center" wrapText="1"/>
      <protection locked="0"/>
    </xf>
    <xf numFmtId="0" fontId="69" fillId="40" borderId="13" xfId="222" applyFont="1" applyFill="1" applyBorder="1" applyAlignment="1" applyProtection="1">
      <alignment horizontal="left" vertical="center" wrapText="1"/>
      <protection locked="0"/>
    </xf>
    <xf numFmtId="3" fontId="69" fillId="0" borderId="55" xfId="222" applyNumberFormat="1" applyFont="1" applyBorder="1" applyAlignment="1">
      <alignment horizontal="right" vertical="center" wrapText="1"/>
    </xf>
    <xf numFmtId="3" fontId="69" fillId="0" borderId="47" xfId="222" applyNumberFormat="1" applyFont="1" applyBorder="1" applyAlignment="1">
      <alignment horizontal="right" vertical="center" wrapText="1"/>
    </xf>
    <xf numFmtId="3" fontId="69" fillId="0" borderId="48" xfId="222" applyNumberFormat="1" applyFont="1" applyBorder="1" applyAlignment="1">
      <alignment horizontal="right" vertical="center" wrapText="1"/>
    </xf>
    <xf numFmtId="3" fontId="69" fillId="0" borderId="56" xfId="222" applyNumberFormat="1" applyFont="1" applyBorder="1" applyAlignment="1">
      <alignment horizontal="right" vertical="center" wrapText="1"/>
    </xf>
    <xf numFmtId="0" fontId="68" fillId="0" borderId="35" xfId="222" applyFont="1" applyBorder="1" applyAlignment="1" applyProtection="1">
      <alignment vertical="center" wrapText="1"/>
      <protection locked="0"/>
    </xf>
    <xf numFmtId="0" fontId="69" fillId="40" borderId="57" xfId="240" applyFont="1" applyFill="1" applyBorder="1" applyAlignment="1" applyProtection="1">
      <alignment horizontal="left" vertical="center" wrapText="1"/>
      <protection locked="0"/>
    </xf>
    <xf numFmtId="3" fontId="69" fillId="40" borderId="49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12" xfId="222" applyNumberFormat="1" applyFont="1" applyFill="1" applyBorder="1" applyAlignment="1">
      <alignment horizontal="right" vertical="center" wrapText="1"/>
    </xf>
    <xf numFmtId="0" fontId="69" fillId="0" borderId="49" xfId="222" applyFont="1" applyBorder="1" applyAlignment="1" applyProtection="1">
      <alignment horizontal="left" vertical="center" wrapText="1"/>
      <protection locked="0"/>
    </xf>
    <xf numFmtId="3" fontId="69" fillId="0" borderId="12" xfId="222" applyNumberFormat="1" applyFont="1" applyBorder="1" applyAlignment="1">
      <alignment horizontal="right" vertical="center" wrapText="1"/>
    </xf>
    <xf numFmtId="3" fontId="69" fillId="0" borderId="49" xfId="222" applyNumberFormat="1" applyFont="1" applyBorder="1" applyAlignment="1">
      <alignment horizontal="right" vertical="center" wrapText="1"/>
    </xf>
    <xf numFmtId="0" fontId="68" fillId="0" borderId="58" xfId="222" applyFont="1" applyBorder="1" applyAlignment="1" applyProtection="1">
      <alignment vertical="center" wrapText="1"/>
      <protection locked="0"/>
    </xf>
    <xf numFmtId="0" fontId="69" fillId="40" borderId="59" xfId="240" applyFont="1" applyFill="1" applyBorder="1" applyAlignment="1" applyProtection="1">
      <alignment horizontal="left" vertical="center" wrapText="1"/>
      <protection locked="0"/>
    </xf>
    <xf numFmtId="3" fontId="69" fillId="40" borderId="60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32" xfId="222" applyNumberFormat="1" applyFont="1" applyFill="1" applyBorder="1" applyAlignment="1">
      <alignment horizontal="right" vertical="center" wrapText="1"/>
    </xf>
    <xf numFmtId="0" fontId="69" fillId="0" borderId="60" xfId="222" applyFont="1" applyBorder="1" applyAlignment="1" applyProtection="1">
      <alignment horizontal="left" vertical="center" wrapText="1"/>
      <protection locked="0"/>
    </xf>
    <xf numFmtId="0" fontId="69" fillId="40" borderId="60" xfId="240" applyFont="1" applyFill="1" applyBorder="1" applyAlignment="1" applyProtection="1">
      <alignment horizontal="left" vertical="center" wrapText="1"/>
      <protection locked="0"/>
    </xf>
    <xf numFmtId="3" fontId="69" fillId="0" borderId="60" xfId="222" applyNumberFormat="1" applyFont="1" applyBorder="1" applyAlignment="1">
      <alignment horizontal="right" vertical="center" wrapText="1"/>
    </xf>
    <xf numFmtId="3" fontId="69" fillId="0" borderId="51" xfId="222" applyNumberFormat="1" applyFont="1" applyBorder="1" applyAlignment="1">
      <alignment horizontal="right" vertical="center" wrapText="1"/>
    </xf>
    <xf numFmtId="0" fontId="68" fillId="41" borderId="22" xfId="222" applyFont="1" applyFill="1" applyBorder="1" applyAlignment="1" applyProtection="1">
      <alignment horizontal="left" vertical="center" wrapText="1"/>
      <protection locked="0"/>
    </xf>
    <xf numFmtId="0" fontId="70" fillId="41" borderId="61" xfId="240" applyFont="1" applyFill="1" applyBorder="1" applyAlignment="1">
      <alignment vertical="center" wrapText="1"/>
    </xf>
    <xf numFmtId="0" fontId="70" fillId="41" borderId="62" xfId="240" applyFont="1" applyFill="1" applyBorder="1" applyAlignment="1">
      <alignment vertical="center" wrapText="1"/>
    </xf>
    <xf numFmtId="0" fontId="68" fillId="41" borderId="62" xfId="240" applyFont="1" applyFill="1" applyBorder="1" applyAlignment="1" applyProtection="1">
      <alignment horizontal="left" vertical="center" wrapText="1"/>
      <protection locked="0"/>
    </xf>
    <xf numFmtId="3" fontId="68" fillId="41" borderId="62" xfId="240" applyNumberFormat="1" applyFont="1" applyFill="1" applyBorder="1" applyAlignment="1" applyProtection="1">
      <alignment horizontal="right" vertical="center" wrapText="1"/>
      <protection locked="0"/>
    </xf>
    <xf numFmtId="3" fontId="68" fillId="41" borderId="62" xfId="222" applyNumberFormat="1" applyFont="1" applyFill="1" applyBorder="1" applyAlignment="1">
      <alignment horizontal="right" vertical="center" wrapText="1"/>
    </xf>
    <xf numFmtId="0" fontId="68" fillId="41" borderId="62" xfId="222" applyFont="1" applyFill="1" applyBorder="1" applyAlignment="1" applyProtection="1">
      <alignment horizontal="left" vertical="center" wrapText="1"/>
      <protection locked="0"/>
    </xf>
    <xf numFmtId="3" fontId="68" fillId="41" borderId="63" xfId="222" applyNumberFormat="1" applyFont="1" applyFill="1" applyBorder="1" applyAlignment="1">
      <alignment horizontal="right" vertical="center" wrapText="1"/>
    </xf>
    <xf numFmtId="0" fontId="68" fillId="0" borderId="31" xfId="222" applyFont="1" applyBorder="1" applyAlignment="1" applyProtection="1">
      <alignment vertical="center" wrapText="1"/>
      <protection locked="0"/>
    </xf>
    <xf numFmtId="3" fontId="68" fillId="0" borderId="16" xfId="222" applyNumberFormat="1" applyFont="1" applyBorder="1" applyAlignment="1" applyProtection="1">
      <alignment horizontal="right" wrapText="1"/>
      <protection locked="0"/>
    </xf>
    <xf numFmtId="0" fontId="69" fillId="40" borderId="64" xfId="240" applyFont="1" applyFill="1" applyBorder="1" applyAlignment="1" applyProtection="1">
      <alignment horizontal="left" vertical="center" wrapText="1"/>
      <protection locked="0"/>
    </xf>
    <xf numFmtId="3" fontId="69" fillId="40" borderId="65" xfId="240" applyNumberFormat="1" applyFont="1" applyFill="1" applyBorder="1" applyAlignment="1" applyProtection="1">
      <alignment horizontal="right" vertical="center" wrapText="1"/>
      <protection locked="0"/>
    </xf>
    <xf numFmtId="3" fontId="69" fillId="40" borderId="21" xfId="222" applyNumberFormat="1" applyFont="1" applyFill="1" applyBorder="1" applyAlignment="1">
      <alignment horizontal="right" vertical="center" wrapText="1"/>
    </xf>
    <xf numFmtId="0" fontId="69" fillId="0" borderId="65" xfId="222" applyFont="1" applyBorder="1" applyAlignment="1" applyProtection="1">
      <alignment horizontal="left" vertical="center" wrapText="1"/>
      <protection locked="0"/>
    </xf>
    <xf numFmtId="3" fontId="69" fillId="0" borderId="21" xfId="222" applyNumberFormat="1" applyFont="1" applyBorder="1" applyAlignment="1">
      <alignment horizontal="right" vertical="center" wrapText="1"/>
    </xf>
    <xf numFmtId="0" fontId="69" fillId="40" borderId="65" xfId="240" applyFont="1" applyFill="1" applyBorder="1" applyAlignment="1" applyProtection="1">
      <alignment horizontal="left" vertical="center" wrapText="1"/>
      <protection locked="0"/>
    </xf>
    <xf numFmtId="3" fontId="69" fillId="0" borderId="65" xfId="222" applyNumberFormat="1" applyFont="1" applyBorder="1" applyAlignment="1">
      <alignment horizontal="right" vertical="center" wrapText="1"/>
    </xf>
    <xf numFmtId="0" fontId="69" fillId="40" borderId="22" xfId="222" applyFont="1" applyFill="1" applyBorder="1" applyAlignment="1" applyProtection="1">
      <alignment horizontal="left" vertical="center" wrapText="1"/>
      <protection locked="0"/>
    </xf>
    <xf numFmtId="0" fontId="68" fillId="22" borderId="50" xfId="222" applyFont="1" applyFill="1" applyBorder="1" applyProtection="1">
      <protection locked="0"/>
    </xf>
    <xf numFmtId="0" fontId="68" fillId="22" borderId="30" xfId="222" applyFont="1" applyFill="1" applyBorder="1" applyProtection="1">
      <protection locked="0"/>
    </xf>
    <xf numFmtId="0" fontId="69" fillId="22" borderId="30" xfId="222" applyFont="1" applyFill="1" applyBorder="1" applyProtection="1">
      <protection locked="0"/>
    </xf>
    <xf numFmtId="0" fontId="69" fillId="22" borderId="48" xfId="222" applyFont="1" applyFill="1" applyBorder="1" applyProtection="1">
      <protection locked="0"/>
    </xf>
    <xf numFmtId="0" fontId="69" fillId="31" borderId="14" xfId="222" applyFont="1" applyFill="1" applyBorder="1" applyAlignment="1" applyProtection="1">
      <alignment horizontal="left" vertical="center" wrapText="1"/>
      <protection locked="0"/>
    </xf>
    <xf numFmtId="170" fontId="69" fillId="0" borderId="14" xfId="240" applyNumberFormat="1" applyFont="1" applyBorder="1" applyAlignment="1" applyProtection="1">
      <alignment horizontal="right" vertical="center" wrapText="1"/>
      <protection locked="0"/>
    </xf>
    <xf numFmtId="169" fontId="4" fillId="52" borderId="11" xfId="258" applyNumberFormat="1" applyFont="1" applyFill="1" applyBorder="1" applyAlignment="1" applyProtection="1">
      <alignment horizontal="center" vertical="center"/>
      <protection locked="0"/>
    </xf>
    <xf numFmtId="0" fontId="68" fillId="38" borderId="13" xfId="222" applyFont="1" applyFill="1" applyBorder="1" applyAlignment="1" applyProtection="1">
      <alignment horizontal="center" vertical="center"/>
      <protection locked="0"/>
    </xf>
    <xf numFmtId="0" fontId="68" fillId="39" borderId="19" xfId="222" applyFont="1" applyFill="1" applyBorder="1" applyAlignment="1" applyProtection="1">
      <alignment horizontal="center" vertical="center"/>
      <protection locked="0"/>
    </xf>
    <xf numFmtId="0" fontId="62" fillId="38" borderId="47" xfId="240" applyFill="1" applyBorder="1" applyAlignment="1" applyProtection="1">
      <alignment horizontal="center" vertical="center"/>
      <protection locked="0"/>
    </xf>
    <xf numFmtId="0" fontId="68" fillId="53" borderId="66" xfId="222" applyFont="1" applyFill="1" applyBorder="1" applyAlignment="1" applyProtection="1">
      <alignment horizontal="center" vertical="center" wrapText="1"/>
      <protection locked="0"/>
    </xf>
    <xf numFmtId="0" fontId="68" fillId="53" borderId="67" xfId="222" applyFont="1" applyFill="1" applyBorder="1" applyAlignment="1" applyProtection="1">
      <alignment horizontal="center" vertical="center" wrapText="1"/>
      <protection locked="0"/>
    </xf>
    <xf numFmtId="0" fontId="68" fillId="53" borderId="67" xfId="222" applyFont="1" applyFill="1" applyBorder="1" applyAlignment="1" applyProtection="1">
      <alignment horizontal="center" vertical="center"/>
      <protection locked="0"/>
    </xf>
    <xf numFmtId="0" fontId="68" fillId="53" borderId="30" xfId="222" applyFont="1" applyFill="1" applyBorder="1" applyAlignment="1" applyProtection="1">
      <alignment horizontal="center" vertical="center"/>
      <protection locked="0"/>
    </xf>
    <xf numFmtId="0" fontId="68" fillId="53" borderId="30" xfId="222" applyFont="1" applyFill="1" applyBorder="1" applyAlignment="1" applyProtection="1">
      <alignment horizontal="center" vertical="center" wrapText="1"/>
      <protection locked="0"/>
    </xf>
    <xf numFmtId="0" fontId="68" fillId="53" borderId="48" xfId="222" applyFont="1" applyFill="1" applyBorder="1" applyAlignment="1" applyProtection="1">
      <alignment horizontal="center" vertical="center"/>
      <protection locked="0"/>
    </xf>
    <xf numFmtId="0" fontId="82" fillId="37" borderId="17" xfId="222" applyFont="1" applyFill="1" applyBorder="1" applyAlignment="1" applyProtection="1">
      <alignment horizontal="center" vertical="center"/>
      <protection locked="0"/>
    </xf>
    <xf numFmtId="3" fontId="95" fillId="37" borderId="1" xfId="222" applyNumberFormat="1" applyFont="1" applyFill="1" applyBorder="1" applyAlignment="1" applyProtection="1">
      <alignment horizontal="center" vertical="center"/>
      <protection locked="0"/>
    </xf>
    <xf numFmtId="0" fontId="82" fillId="37" borderId="67" xfId="222" applyFont="1" applyFill="1" applyBorder="1" applyAlignment="1" applyProtection="1">
      <alignment horizontal="center"/>
      <protection locked="0"/>
    </xf>
    <xf numFmtId="3" fontId="95" fillId="37" borderId="68" xfId="222" applyNumberFormat="1" applyFont="1" applyFill="1" applyBorder="1" applyAlignment="1" applyProtection="1">
      <alignment horizontal="center"/>
      <protection locked="0"/>
    </xf>
    <xf numFmtId="4" fontId="68" fillId="41" borderId="62" xfId="222" applyNumberFormat="1" applyFont="1" applyFill="1" applyBorder="1" applyAlignment="1">
      <alignment horizontal="right" vertical="center" wrapText="1"/>
    </xf>
    <xf numFmtId="3" fontId="69" fillId="0" borderId="69" xfId="222" applyNumberFormat="1" applyFont="1" applyBorder="1" applyAlignment="1">
      <alignment horizontal="right" vertical="center" wrapText="1"/>
    </xf>
    <xf numFmtId="3" fontId="71" fillId="40" borderId="12" xfId="222" applyNumberFormat="1" applyFont="1" applyFill="1" applyBorder="1" applyAlignment="1">
      <alignment horizontal="right" vertical="center" wrapText="1"/>
    </xf>
    <xf numFmtId="0" fontId="69" fillId="0" borderId="70" xfId="222" applyFont="1" applyBorder="1" applyAlignment="1" applyProtection="1">
      <alignment horizontal="left" vertical="center" wrapText="1"/>
      <protection locked="0"/>
    </xf>
    <xf numFmtId="0" fontId="69" fillId="0" borderId="50" xfId="222" applyFont="1" applyBorder="1" applyAlignment="1" applyProtection="1">
      <alignment horizontal="left" vertical="center" wrapText="1"/>
      <protection locked="0"/>
    </xf>
    <xf numFmtId="3" fontId="69" fillId="40" borderId="71" xfId="222" applyNumberFormat="1" applyFont="1" applyFill="1" applyBorder="1" applyAlignment="1">
      <alignment horizontal="right" vertical="center" wrapText="1"/>
    </xf>
    <xf numFmtId="169" fontId="3" fillId="52" borderId="11" xfId="258" applyNumberFormat="1" applyFont="1" applyFill="1" applyBorder="1" applyAlignment="1" applyProtection="1">
      <alignment horizontal="center" vertical="center"/>
      <protection locked="0"/>
    </xf>
    <xf numFmtId="0" fontId="82" fillId="55" borderId="70" xfId="222" applyFont="1" applyFill="1" applyBorder="1" applyAlignment="1" applyProtection="1">
      <alignment horizontal="left" wrapText="1"/>
      <protection locked="0"/>
    </xf>
    <xf numFmtId="3" fontId="95" fillId="55" borderId="29" xfId="222" applyNumberFormat="1" applyFont="1" applyFill="1" applyBorder="1" applyAlignment="1" applyProtection="1">
      <alignment horizontal="center" vertical="center"/>
      <protection locked="0"/>
    </xf>
    <xf numFmtId="3" fontId="95" fillId="37" borderId="0" xfId="222" applyNumberFormat="1" applyFont="1" applyFill="1" applyBorder="1" applyAlignment="1" applyProtection="1">
      <alignment horizontal="center" vertical="center"/>
      <protection locked="0"/>
    </xf>
    <xf numFmtId="3" fontId="95" fillId="37" borderId="0" xfId="222" applyNumberFormat="1" applyFont="1" applyFill="1" applyBorder="1" applyAlignment="1" applyProtection="1">
      <alignment horizontal="center"/>
      <protection locked="0"/>
    </xf>
    <xf numFmtId="3" fontId="95" fillId="55" borderId="71" xfId="222" applyNumberFormat="1" applyFont="1" applyFill="1" applyBorder="1" applyAlignment="1" applyProtection="1">
      <alignment horizontal="center" vertical="center"/>
      <protection locked="0"/>
    </xf>
    <xf numFmtId="3" fontId="68" fillId="0" borderId="0" xfId="222" applyNumberFormat="1" applyFont="1" applyBorder="1" applyAlignment="1" applyProtection="1">
      <alignment horizontal="right" wrapText="1"/>
      <protection locked="0"/>
    </xf>
    <xf numFmtId="3" fontId="69" fillId="0" borderId="29" xfId="240" applyNumberFormat="1" applyFont="1" applyBorder="1" applyAlignment="1">
      <alignment vertical="center" wrapText="1"/>
    </xf>
    <xf numFmtId="3" fontId="62" fillId="0" borderId="14" xfId="240" applyNumberFormat="1" applyBorder="1" applyAlignment="1">
      <alignment vertical="center" wrapText="1"/>
    </xf>
    <xf numFmtId="3" fontId="97" fillId="0" borderId="29" xfId="240" applyNumberFormat="1" applyFont="1" applyBorder="1" applyAlignment="1">
      <alignment vertical="center" wrapText="1"/>
    </xf>
    <xf numFmtId="3" fontId="68" fillId="22" borderId="68" xfId="222" applyNumberFormat="1" applyFont="1" applyFill="1" applyBorder="1" applyAlignment="1" applyProtection="1">
      <alignment wrapText="1"/>
      <protection locked="0"/>
    </xf>
    <xf numFmtId="0" fontId="0" fillId="0" borderId="38" xfId="0" applyBorder="1" applyAlignment="1"/>
    <xf numFmtId="4" fontId="68" fillId="0" borderId="29" xfId="240" applyNumberFormat="1" applyFont="1" applyBorder="1" applyAlignment="1">
      <alignment vertical="center" wrapText="1"/>
    </xf>
    <xf numFmtId="4" fontId="62" fillId="0" borderId="11" xfId="240" applyNumberFormat="1" applyBorder="1" applyAlignment="1">
      <alignment vertical="center" wrapText="1"/>
    </xf>
    <xf numFmtId="4" fontId="62" fillId="0" borderId="14" xfId="240" applyNumberFormat="1" applyBorder="1" applyAlignment="1">
      <alignment vertical="center" wrapText="1"/>
    </xf>
    <xf numFmtId="4" fontId="62" fillId="0" borderId="30" xfId="240" applyNumberFormat="1" applyBorder="1" applyAlignment="1">
      <alignment vertical="center" wrapText="1"/>
    </xf>
    <xf numFmtId="0" fontId="68" fillId="53" borderId="24" xfId="222" applyFont="1" applyFill="1" applyBorder="1" applyAlignment="1" applyProtection="1">
      <alignment horizontal="center" vertical="center"/>
      <protection locked="0"/>
    </xf>
    <xf numFmtId="4" fontId="97" fillId="0" borderId="29" xfId="240" applyNumberFormat="1" applyFont="1" applyBorder="1" applyAlignment="1">
      <alignment vertical="center" wrapText="1"/>
    </xf>
    <xf numFmtId="4" fontId="69" fillId="0" borderId="29" xfId="240" applyNumberFormat="1" applyFont="1" applyBorder="1" applyAlignment="1">
      <alignment vertical="center" wrapText="1"/>
    </xf>
    <xf numFmtId="3" fontId="68" fillId="0" borderId="16" xfId="222" applyNumberFormat="1" applyFont="1" applyBorder="1" applyAlignment="1" applyProtection="1">
      <alignment horizontal="center" wrapText="1"/>
      <protection locked="0"/>
    </xf>
    <xf numFmtId="3" fontId="68" fillId="0" borderId="16" xfId="222" applyNumberFormat="1" applyFont="1" applyBorder="1" applyAlignment="1" applyProtection="1">
      <alignment horizontal="left" wrapText="1"/>
      <protection locked="0"/>
    </xf>
    <xf numFmtId="3" fontId="85" fillId="0" borderId="16" xfId="222" applyNumberFormat="1" applyFont="1" applyBorder="1" applyAlignment="1" applyProtection="1">
      <alignment horizontal="left" wrapText="1"/>
      <protection locked="0"/>
    </xf>
    <xf numFmtId="3" fontId="98" fillId="0" borderId="16" xfId="222" applyNumberFormat="1" applyFont="1" applyBorder="1" applyAlignment="1" applyProtection="1">
      <alignment horizontal="left" wrapText="1"/>
      <protection locked="0"/>
    </xf>
    <xf numFmtId="3" fontId="68" fillId="0" borderId="0" xfId="222" applyNumberFormat="1" applyFont="1" applyBorder="1" applyAlignment="1" applyProtection="1">
      <alignment horizontal="center" wrapText="1"/>
      <protection locked="0"/>
    </xf>
    <xf numFmtId="3" fontId="98" fillId="0" borderId="0" xfId="222" applyNumberFormat="1" applyFont="1" applyBorder="1" applyAlignment="1" applyProtection="1">
      <alignment horizontal="left" wrapText="1"/>
      <protection locked="0"/>
    </xf>
    <xf numFmtId="3" fontId="97" fillId="0" borderId="16" xfId="222" applyNumberFormat="1" applyFont="1" applyBorder="1" applyAlignment="1" applyProtection="1">
      <alignment horizontal="right" wrapText="1"/>
      <protection locked="0"/>
    </xf>
    <xf numFmtId="3" fontId="95" fillId="37" borderId="15" xfId="222" applyNumberFormat="1" applyFont="1" applyFill="1" applyBorder="1" applyAlignment="1" applyProtection="1">
      <alignment horizontal="center" vertical="center"/>
      <protection locked="0"/>
    </xf>
    <xf numFmtId="3" fontId="69" fillId="0" borderId="15" xfId="240" applyNumberFormat="1" applyFont="1" applyBorder="1" applyAlignment="1">
      <alignment vertical="center" wrapText="1"/>
    </xf>
    <xf numFmtId="4" fontId="94" fillId="0" borderId="0" xfId="0" applyNumberFormat="1" applyFont="1" applyAlignment="1">
      <alignment vertical="center"/>
    </xf>
    <xf numFmtId="0" fontId="62" fillId="0" borderId="0" xfId="0" applyFont="1" applyAlignment="1">
      <alignment horizontal="center" wrapText="1"/>
    </xf>
    <xf numFmtId="0" fontId="90" fillId="45" borderId="11" xfId="210" applyFont="1" applyFill="1" applyBorder="1" applyAlignment="1">
      <alignment horizontal="center" vertical="center"/>
    </xf>
    <xf numFmtId="4" fontId="99" fillId="45" borderId="11" xfId="210" applyNumberFormat="1" applyFont="1" applyFill="1" applyBorder="1" applyAlignment="1">
      <alignment horizontal="center" vertical="center" wrapText="1"/>
    </xf>
    <xf numFmtId="0" fontId="99" fillId="45" borderId="15" xfId="210" applyFont="1" applyFill="1" applyBorder="1" applyAlignment="1">
      <alignment horizontal="center" vertical="center"/>
    </xf>
    <xf numFmtId="0" fontId="89" fillId="0" borderId="28" xfId="223" applyFont="1" applyBorder="1"/>
    <xf numFmtId="0" fontId="89" fillId="0" borderId="72" xfId="223" applyFont="1" applyBorder="1"/>
    <xf numFmtId="0" fontId="89" fillId="0" borderId="23" xfId="223" applyFont="1" applyBorder="1"/>
    <xf numFmtId="3" fontId="100" fillId="0" borderId="72" xfId="223" applyNumberFormat="1" applyFont="1" applyBorder="1"/>
    <xf numFmtId="3" fontId="92" fillId="49" borderId="11" xfId="210" applyNumberFormat="1" applyFont="1" applyFill="1" applyBorder="1" applyAlignment="1">
      <alignment vertical="center" wrapText="1"/>
    </xf>
    <xf numFmtId="3" fontId="92" fillId="0" borderId="30" xfId="210" applyNumberFormat="1" applyFont="1" applyBorder="1" applyAlignment="1">
      <alignment vertical="center" wrapText="1"/>
    </xf>
    <xf numFmtId="2" fontId="89" fillId="0" borderId="0" xfId="210" applyNumberFormat="1" applyFont="1" applyAlignment="1">
      <alignment vertical="center" wrapText="1"/>
    </xf>
    <xf numFmtId="0" fontId="92" fillId="0" borderId="30" xfId="210" applyFont="1" applyBorder="1" applyAlignment="1">
      <alignment vertical="center" wrapText="1"/>
    </xf>
    <xf numFmtId="0" fontId="92" fillId="0" borderId="0" xfId="223" applyFont="1"/>
    <xf numFmtId="0" fontId="92" fillId="0" borderId="0" xfId="210" applyFont="1" applyAlignment="1">
      <alignment vertical="center" wrapText="1"/>
    </xf>
    <xf numFmtId="3" fontId="92" fillId="0" borderId="0" xfId="210" applyNumberFormat="1" applyFont="1" applyAlignment="1">
      <alignment vertical="center" wrapText="1"/>
    </xf>
    <xf numFmtId="0" fontId="89" fillId="0" borderId="49" xfId="216" applyFont="1" applyBorder="1" applyAlignment="1">
      <alignment wrapText="1"/>
    </xf>
    <xf numFmtId="0" fontId="104" fillId="58" borderId="11" xfId="291" applyFont="1" applyFill="1" applyBorder="1" applyAlignment="1">
      <alignment horizontal="center" vertical="center" wrapText="1"/>
    </xf>
    <xf numFmtId="171" fontId="104" fillId="58" borderId="11" xfId="292" applyNumberFormat="1" applyFont="1" applyFill="1" applyBorder="1" applyAlignment="1">
      <alignment horizontal="center" vertical="center" wrapText="1"/>
    </xf>
    <xf numFmtId="0" fontId="105" fillId="0" borderId="11" xfId="291" applyFont="1" applyBorder="1" applyAlignment="1">
      <alignment vertical="center" wrapText="1"/>
    </xf>
    <xf numFmtId="171" fontId="105" fillId="0" borderId="11" xfId="292" applyNumberFormat="1" applyFont="1" applyBorder="1" applyAlignment="1">
      <alignment horizontal="right" vertical="center" wrapText="1"/>
    </xf>
    <xf numFmtId="9" fontId="104" fillId="58" borderId="11" xfId="293" applyNumberFormat="1" applyFont="1" applyFill="1" applyBorder="1" applyAlignment="1">
      <alignment horizontal="center" vertical="center" wrapText="1"/>
    </xf>
    <xf numFmtId="0" fontId="5" fillId="0" borderId="11" xfId="291" applyFont="1" applyBorder="1" applyAlignment="1">
      <alignment vertical="center" wrapText="1"/>
    </xf>
    <xf numFmtId="171" fontId="5" fillId="0" borderId="11" xfId="292" applyNumberFormat="1" applyFont="1" applyBorder="1" applyAlignment="1">
      <alignment horizontal="right" vertical="center" wrapText="1"/>
    </xf>
    <xf numFmtId="171" fontId="106" fillId="0" borderId="11" xfId="292" applyNumberFormat="1" applyFont="1" applyBorder="1"/>
    <xf numFmtId="0" fontId="104" fillId="58" borderId="11" xfId="291" applyFont="1" applyFill="1" applyBorder="1" applyAlignment="1">
      <alignment vertical="center" wrapText="1"/>
    </xf>
    <xf numFmtId="171" fontId="104" fillId="58" borderId="11" xfId="292" applyNumberFormat="1" applyFont="1" applyFill="1" applyBorder="1" applyAlignment="1">
      <alignment horizontal="right" vertical="center" wrapText="1"/>
    </xf>
    <xf numFmtId="0" fontId="38" fillId="0" borderId="0" xfId="223" applyFont="1" applyAlignment="1">
      <alignment horizontal="center" wrapText="1"/>
    </xf>
    <xf numFmtId="0" fontId="107" fillId="33" borderId="11" xfId="223" applyFont="1" applyFill="1" applyBorder="1" applyAlignment="1">
      <alignment horizontal="center" vertical="center" wrapText="1"/>
    </xf>
    <xf numFmtId="0" fontId="107" fillId="0" borderId="11" xfId="223" applyFont="1" applyBorder="1" applyAlignment="1">
      <alignment horizontal="left" vertical="center" wrapText="1" indent="1"/>
    </xf>
    <xf numFmtId="3" fontId="107" fillId="0" borderId="11" xfId="223" applyNumberFormat="1" applyFont="1" applyBorder="1" applyAlignment="1">
      <alignment horizontal="right" vertical="center" wrapText="1"/>
    </xf>
    <xf numFmtId="9" fontId="107" fillId="33" borderId="11" xfId="258" applyNumberFormat="1" applyFont="1" applyFill="1" applyBorder="1" applyAlignment="1">
      <alignment horizontal="center" vertical="center" wrapText="1"/>
    </xf>
    <xf numFmtId="0" fontId="38" fillId="0" borderId="11" xfId="223" applyFont="1" applyBorder="1" applyAlignment="1">
      <alignment horizontal="left" vertical="center" wrapText="1" indent="4"/>
    </xf>
    <xf numFmtId="171" fontId="4" fillId="0" borderId="11" xfId="292" applyNumberFormat="1" applyFont="1" applyBorder="1" applyAlignment="1">
      <alignment horizontal="right" vertical="center" wrapText="1"/>
    </xf>
    <xf numFmtId="3" fontId="38" fillId="0" borderId="11" xfId="223" applyNumberFormat="1" applyFont="1" applyBorder="1" applyAlignment="1">
      <alignment horizontal="right" vertical="center" wrapText="1"/>
    </xf>
    <xf numFmtId="9" fontId="38" fillId="33" borderId="11" xfId="258" applyNumberFormat="1" applyFont="1" applyFill="1" applyBorder="1" applyAlignment="1">
      <alignment horizontal="center" vertical="center" wrapText="1"/>
    </xf>
    <xf numFmtId="0" fontId="38" fillId="0" borderId="0" xfId="223" applyFont="1"/>
    <xf numFmtId="0" fontId="107" fillId="33" borderId="11" xfId="223" applyFont="1" applyFill="1" applyBorder="1" applyAlignment="1">
      <alignment vertical="center" wrapText="1"/>
    </xf>
    <xf numFmtId="3" fontId="107" fillId="33" borderId="11" xfId="223" applyNumberFormat="1" applyFont="1" applyFill="1" applyBorder="1" applyAlignment="1">
      <alignment horizontal="right" vertical="center" wrapText="1"/>
    </xf>
    <xf numFmtId="9" fontId="73" fillId="46" borderId="11" xfId="258" applyNumberFormat="1" applyFont="1" applyFill="1" applyBorder="1" applyAlignment="1">
      <alignment horizontal="center" vertical="center" wrapText="1"/>
    </xf>
    <xf numFmtId="9" fontId="11" fillId="0" borderId="0" xfId="258" applyFont="1"/>
    <xf numFmtId="0" fontId="4" fillId="56" borderId="38" xfId="0" applyFont="1" applyFill="1" applyBorder="1" applyAlignment="1"/>
    <xf numFmtId="0" fontId="107" fillId="37" borderId="25" xfId="222" applyFont="1" applyFill="1" applyBorder="1" applyAlignment="1" applyProtection="1">
      <alignment horizontal="center" vertical="center" wrapText="1"/>
      <protection locked="0"/>
    </xf>
    <xf numFmtId="3" fontId="108" fillId="37" borderId="28" xfId="222" applyNumberFormat="1" applyFont="1" applyFill="1" applyBorder="1" applyAlignment="1" applyProtection="1">
      <alignment horizontal="center"/>
      <protection locked="0"/>
    </xf>
    <xf numFmtId="0" fontId="38" fillId="0" borderId="0" xfId="222" applyFont="1" applyProtection="1">
      <protection locked="0"/>
    </xf>
    <xf numFmtId="0" fontId="107" fillId="37" borderId="39" xfId="222" applyFont="1" applyFill="1" applyBorder="1" applyAlignment="1" applyProtection="1">
      <alignment horizontal="center" vertical="center" wrapText="1"/>
      <protection locked="0"/>
    </xf>
    <xf numFmtId="3" fontId="108" fillId="37" borderId="40" xfId="222" applyNumberFormat="1" applyFont="1" applyFill="1" applyBorder="1" applyAlignment="1" applyProtection="1">
      <alignment horizontal="center"/>
      <protection locked="0"/>
    </xf>
    <xf numFmtId="0" fontId="107" fillId="38" borderId="11" xfId="222" applyFont="1" applyFill="1" applyBorder="1" applyAlignment="1" applyProtection="1">
      <alignment horizontal="center" vertical="center"/>
      <protection locked="0"/>
    </xf>
    <xf numFmtId="0" fontId="38" fillId="38" borderId="11" xfId="240" applyFont="1" applyFill="1" applyBorder="1" applyAlignment="1" applyProtection="1">
      <alignment horizontal="center" vertical="center"/>
      <protection locked="0"/>
    </xf>
    <xf numFmtId="0" fontId="38" fillId="38" borderId="47" xfId="240" applyFont="1" applyFill="1" applyBorder="1" applyAlignment="1" applyProtection="1">
      <alignment horizontal="center" vertical="center"/>
      <protection locked="0"/>
    </xf>
    <xf numFmtId="0" fontId="107" fillId="38" borderId="13" xfId="222" applyFont="1" applyFill="1" applyBorder="1" applyAlignment="1" applyProtection="1">
      <alignment horizontal="center" vertical="center"/>
      <protection locked="0"/>
    </xf>
    <xf numFmtId="0" fontId="107" fillId="53" borderId="24" xfId="222" applyFont="1" applyFill="1" applyBorder="1" applyAlignment="1" applyProtection="1">
      <alignment horizontal="center" vertical="center"/>
      <protection locked="0"/>
    </xf>
    <xf numFmtId="0" fontId="107" fillId="53" borderId="66" xfId="222" applyFont="1" applyFill="1" applyBorder="1" applyAlignment="1" applyProtection="1">
      <alignment horizontal="center" vertical="center" wrapText="1"/>
      <protection locked="0"/>
    </xf>
    <xf numFmtId="0" fontId="107" fillId="53" borderId="67" xfId="222" applyFont="1" applyFill="1" applyBorder="1" applyAlignment="1" applyProtection="1">
      <alignment horizontal="center" vertical="center" wrapText="1"/>
      <protection locked="0"/>
    </xf>
    <xf numFmtId="0" fontId="107" fillId="53" borderId="67" xfId="222" applyFont="1" applyFill="1" applyBorder="1" applyAlignment="1" applyProtection="1">
      <alignment horizontal="center" vertical="center"/>
      <protection locked="0"/>
    </xf>
    <xf numFmtId="0" fontId="107" fillId="53" borderId="30" xfId="222" applyFont="1" applyFill="1" applyBorder="1" applyAlignment="1" applyProtection="1">
      <alignment horizontal="center" vertical="center"/>
      <protection locked="0"/>
    </xf>
    <xf numFmtId="0" fontId="107" fillId="53" borderId="30" xfId="222" applyFont="1" applyFill="1" applyBorder="1" applyAlignment="1" applyProtection="1">
      <alignment horizontal="center" vertical="center" wrapText="1"/>
      <protection locked="0"/>
    </xf>
    <xf numFmtId="0" fontId="107" fillId="53" borderId="48" xfId="222" applyFont="1" applyFill="1" applyBorder="1" applyAlignment="1" applyProtection="1">
      <alignment horizontal="center" vertical="center"/>
      <protection locked="0"/>
    </xf>
    <xf numFmtId="0" fontId="107" fillId="39" borderId="19" xfId="222" applyFont="1" applyFill="1" applyBorder="1" applyAlignment="1" applyProtection="1">
      <alignment horizontal="center" vertical="center"/>
      <protection locked="0"/>
    </xf>
    <xf numFmtId="0" fontId="107" fillId="39" borderId="14" xfId="222" applyFont="1" applyFill="1" applyBorder="1" applyAlignment="1" applyProtection="1">
      <alignment horizontal="center" vertical="center" wrapText="1"/>
      <protection locked="0"/>
    </xf>
    <xf numFmtId="0" fontId="107" fillId="39" borderId="14" xfId="222" applyFont="1" applyFill="1" applyBorder="1" applyAlignment="1" applyProtection="1">
      <alignment horizontal="center" vertical="center"/>
      <protection locked="0"/>
    </xf>
    <xf numFmtId="0" fontId="107" fillId="37" borderId="17" xfId="222" applyFont="1" applyFill="1" applyBorder="1" applyAlignment="1" applyProtection="1">
      <alignment horizontal="center" vertical="center"/>
      <protection locked="0"/>
    </xf>
    <xf numFmtId="3" fontId="109" fillId="37" borderId="1" xfId="222" applyNumberFormat="1" applyFont="1" applyFill="1" applyBorder="1" applyAlignment="1" applyProtection="1">
      <alignment horizontal="center" vertical="center"/>
      <protection locked="0"/>
    </xf>
    <xf numFmtId="3" fontId="107" fillId="22" borderId="68" xfId="222" applyNumberFormat="1" applyFont="1" applyFill="1" applyBorder="1" applyAlignment="1" applyProtection="1">
      <alignment wrapText="1"/>
      <protection locked="0"/>
    </xf>
    <xf numFmtId="0" fontId="38" fillId="56" borderId="38" xfId="240" applyFont="1" applyFill="1" applyBorder="1" applyAlignment="1">
      <alignment wrapText="1"/>
    </xf>
    <xf numFmtId="0" fontId="38" fillId="40" borderId="14" xfId="240" applyFont="1" applyFill="1" applyBorder="1" applyAlignment="1" applyProtection="1">
      <alignment horizontal="left" vertical="center" wrapText="1"/>
      <protection locked="0"/>
    </xf>
    <xf numFmtId="3" fontId="38" fillId="40" borderId="11" xfId="240" applyNumberFormat="1" applyFont="1" applyFill="1" applyBorder="1" applyAlignment="1" applyProtection="1">
      <alignment horizontal="right" vertical="center" wrapText="1"/>
      <protection locked="0"/>
    </xf>
    <xf numFmtId="3" fontId="38" fillId="40" borderId="11" xfId="222" applyNumberFormat="1" applyFont="1" applyFill="1" applyBorder="1" applyAlignment="1">
      <alignment horizontal="right" vertical="center" wrapText="1"/>
    </xf>
    <xf numFmtId="3" fontId="38" fillId="0" borderId="11" xfId="240" applyNumberFormat="1" applyFont="1" applyBorder="1" applyAlignment="1" applyProtection="1">
      <alignment horizontal="right" vertical="center" wrapText="1"/>
      <protection locked="0"/>
    </xf>
    <xf numFmtId="3" fontId="38" fillId="0" borderId="11" xfId="222" applyNumberFormat="1" applyFont="1" applyBorder="1" applyAlignment="1">
      <alignment horizontal="right" vertical="center" wrapText="1"/>
    </xf>
    <xf numFmtId="0" fontId="38" fillId="40" borderId="11" xfId="240" applyFont="1" applyFill="1" applyBorder="1" applyAlignment="1" applyProtection="1">
      <alignment horizontal="left" vertical="center" wrapText="1"/>
      <protection locked="0"/>
    </xf>
    <xf numFmtId="0" fontId="38" fillId="0" borderId="11" xfId="222" applyFont="1" applyBorder="1" applyAlignment="1" applyProtection="1">
      <alignment horizontal="left" vertical="center" wrapText="1"/>
      <protection locked="0"/>
    </xf>
    <xf numFmtId="3" fontId="38" fillId="0" borderId="11" xfId="240" applyNumberFormat="1" applyFont="1" applyBorder="1" applyAlignment="1" applyProtection="1">
      <alignment horizontal="center" vertical="center" wrapText="1"/>
      <protection locked="0"/>
    </xf>
    <xf numFmtId="0" fontId="38" fillId="40" borderId="11" xfId="222" applyFont="1" applyFill="1" applyBorder="1" applyAlignment="1" applyProtection="1">
      <alignment horizontal="left" vertical="center" wrapText="1"/>
      <protection locked="0"/>
    </xf>
    <xf numFmtId="3" fontId="38" fillId="40" borderId="14" xfId="240" applyNumberFormat="1" applyFont="1" applyFill="1" applyBorder="1" applyAlignment="1" applyProtection="1">
      <alignment horizontal="right" vertical="center" wrapText="1"/>
      <protection locked="0"/>
    </xf>
    <xf numFmtId="3" fontId="38" fillId="0" borderId="14" xfId="240" applyNumberFormat="1" applyFont="1" applyBorder="1" applyAlignment="1" applyProtection="1">
      <alignment horizontal="right" vertical="center" wrapText="1"/>
      <protection locked="0"/>
    </xf>
    <xf numFmtId="0" fontId="38" fillId="0" borderId="14" xfId="222" applyFont="1" applyBorder="1" applyAlignment="1" applyProtection="1">
      <alignment horizontal="left" vertical="center" wrapText="1"/>
      <protection locked="0"/>
    </xf>
    <xf numFmtId="0" fontId="38" fillId="40" borderId="14" xfId="222" applyFont="1" applyFill="1" applyBorder="1" applyAlignment="1" applyProtection="1">
      <alignment horizontal="left" vertical="center" wrapText="1"/>
      <protection locked="0"/>
    </xf>
    <xf numFmtId="3" fontId="38" fillId="40" borderId="14" xfId="222" applyNumberFormat="1" applyFont="1" applyFill="1" applyBorder="1" applyAlignment="1">
      <alignment horizontal="right" vertical="center" wrapText="1"/>
    </xf>
    <xf numFmtId="0" fontId="38" fillId="31" borderId="14" xfId="222" applyFont="1" applyFill="1" applyBorder="1" applyAlignment="1" applyProtection="1">
      <alignment horizontal="left" vertical="center" wrapText="1"/>
      <protection locked="0"/>
    </xf>
    <xf numFmtId="0" fontId="38" fillId="40" borderId="29" xfId="240" applyFont="1" applyFill="1" applyBorder="1" applyAlignment="1" applyProtection="1">
      <alignment horizontal="left" vertical="center" wrapText="1"/>
      <protection locked="0"/>
    </xf>
    <xf numFmtId="3" fontId="38" fillId="40" borderId="29" xfId="240" applyNumberFormat="1" applyFont="1" applyFill="1" applyBorder="1" applyAlignment="1" applyProtection="1">
      <alignment horizontal="right" vertical="center" wrapText="1"/>
      <protection locked="0"/>
    </xf>
    <xf numFmtId="3" fontId="38" fillId="40" borderId="29" xfId="222" applyNumberFormat="1" applyFont="1" applyFill="1" applyBorder="1" applyAlignment="1">
      <alignment horizontal="right" vertical="center" wrapText="1"/>
    </xf>
    <xf numFmtId="0" fontId="38" fillId="0" borderId="29" xfId="222" applyFont="1" applyBorder="1" applyAlignment="1" applyProtection="1">
      <alignment horizontal="left" vertical="center" wrapText="1"/>
      <protection locked="0"/>
    </xf>
    <xf numFmtId="3" fontId="38" fillId="0" borderId="29" xfId="240" applyNumberFormat="1" applyFont="1" applyBorder="1" applyAlignment="1" applyProtection="1">
      <alignment horizontal="right" vertical="center" wrapText="1"/>
      <protection locked="0"/>
    </xf>
    <xf numFmtId="3" fontId="38" fillId="0" borderId="29" xfId="240" applyNumberFormat="1" applyFont="1" applyBorder="1" applyAlignment="1" applyProtection="1">
      <alignment horizontal="center" vertical="center" wrapText="1"/>
      <protection locked="0"/>
    </xf>
    <xf numFmtId="3" fontId="38" fillId="0" borderId="29" xfId="222" applyNumberFormat="1" applyFont="1" applyBorder="1" applyAlignment="1">
      <alignment horizontal="right" vertical="center" wrapText="1"/>
    </xf>
    <xf numFmtId="0" fontId="38" fillId="40" borderId="29" xfId="222" applyFont="1" applyFill="1" applyBorder="1" applyAlignment="1" applyProtection="1">
      <alignment horizontal="left" vertical="center" wrapText="1"/>
      <protection locked="0"/>
    </xf>
    <xf numFmtId="0" fontId="38" fillId="40" borderId="15" xfId="240" applyFont="1" applyFill="1" applyBorder="1" applyAlignment="1" applyProtection="1">
      <alignment horizontal="left" vertical="center" wrapText="1"/>
      <protection locked="0"/>
    </xf>
    <xf numFmtId="3" fontId="38" fillId="40" borderId="15" xfId="240" applyNumberFormat="1" applyFont="1" applyFill="1" applyBorder="1" applyAlignment="1" applyProtection="1">
      <alignment horizontal="right" vertical="center" wrapText="1"/>
      <protection locked="0"/>
    </xf>
    <xf numFmtId="0" fontId="38" fillId="0" borderId="15" xfId="222" applyFont="1" applyBorder="1" applyAlignment="1" applyProtection="1">
      <alignment horizontal="left" vertical="center" wrapText="1"/>
      <protection locked="0"/>
    </xf>
    <xf numFmtId="3" fontId="38" fillId="0" borderId="15" xfId="240" applyNumberFormat="1" applyFont="1" applyBorder="1" applyAlignment="1" applyProtection="1">
      <alignment horizontal="right" vertical="center" wrapText="1"/>
      <protection locked="0"/>
    </xf>
    <xf numFmtId="3" fontId="38" fillId="0" borderId="15" xfId="240" applyNumberFormat="1" applyFont="1" applyBorder="1" applyAlignment="1" applyProtection="1">
      <alignment horizontal="center" vertical="center" wrapText="1"/>
      <protection locked="0"/>
    </xf>
    <xf numFmtId="0" fontId="38" fillId="40" borderId="22" xfId="222" applyFont="1" applyFill="1" applyBorder="1" applyAlignment="1" applyProtection="1">
      <alignment horizontal="left" vertical="center" wrapText="1"/>
      <protection locked="0"/>
    </xf>
    <xf numFmtId="3" fontId="38" fillId="40" borderId="15" xfId="222" applyNumberFormat="1" applyFont="1" applyFill="1" applyBorder="1" applyAlignment="1">
      <alignment horizontal="right" vertical="center" wrapText="1"/>
    </xf>
    <xf numFmtId="0" fontId="38" fillId="31" borderId="11" xfId="222" applyFont="1" applyFill="1" applyBorder="1" applyAlignment="1" applyProtection="1">
      <alignment horizontal="left" vertical="center" wrapText="1"/>
      <protection locked="0"/>
    </xf>
    <xf numFmtId="0" fontId="4" fillId="40" borderId="11" xfId="240" applyFont="1" applyFill="1" applyBorder="1" applyAlignment="1" applyProtection="1">
      <alignment horizontal="left" vertical="center" wrapText="1"/>
      <protection locked="0"/>
    </xf>
    <xf numFmtId="3" fontId="4" fillId="40" borderId="11" xfId="222" applyNumberFormat="1" applyFont="1" applyFill="1" applyBorder="1" applyAlignment="1">
      <alignment horizontal="right" vertical="center" wrapText="1"/>
    </xf>
    <xf numFmtId="0" fontId="38" fillId="40" borderId="13" xfId="222" applyFont="1" applyFill="1" applyBorder="1" applyAlignment="1" applyProtection="1">
      <alignment horizontal="left" vertical="center" wrapText="1"/>
      <protection locked="0"/>
    </xf>
    <xf numFmtId="0" fontId="107" fillId="37" borderId="67" xfId="222" applyFont="1" applyFill="1" applyBorder="1" applyAlignment="1" applyProtection="1">
      <alignment horizontal="center"/>
      <protection locked="0"/>
    </xf>
    <xf numFmtId="3" fontId="109" fillId="37" borderId="68" xfId="222" applyNumberFormat="1" applyFont="1" applyFill="1" applyBorder="1" applyAlignment="1" applyProtection="1">
      <alignment horizontal="center"/>
      <protection locked="0"/>
    </xf>
    <xf numFmtId="3" fontId="38" fillId="0" borderId="29" xfId="240" applyNumberFormat="1" applyFont="1" applyBorder="1" applyAlignment="1">
      <alignment vertical="center" wrapText="1"/>
    </xf>
    <xf numFmtId="0" fontId="38" fillId="0" borderId="46" xfId="222" applyFont="1" applyBorder="1" applyAlignment="1" applyProtection="1">
      <alignment horizontal="left" vertical="center" wrapText="1"/>
      <protection locked="0"/>
    </xf>
    <xf numFmtId="3" fontId="38" fillId="0" borderId="46" xfId="240" applyNumberFormat="1" applyFont="1" applyBorder="1" applyAlignment="1" applyProtection="1">
      <alignment horizontal="right" vertical="center" wrapText="1"/>
      <protection locked="0"/>
    </xf>
    <xf numFmtId="3" fontId="38" fillId="0" borderId="69" xfId="222" applyNumberFormat="1" applyFont="1" applyBorder="1" applyAlignment="1">
      <alignment horizontal="right" vertical="center" wrapText="1"/>
    </xf>
    <xf numFmtId="0" fontId="38" fillId="40" borderId="54" xfId="222" applyFont="1" applyFill="1" applyBorder="1" applyAlignment="1" applyProtection="1">
      <alignment horizontal="left" vertical="center" wrapText="1"/>
      <protection locked="0"/>
    </xf>
    <xf numFmtId="3" fontId="38" fillId="0" borderId="55" xfId="222" applyNumberFormat="1" applyFont="1" applyBorder="1" applyAlignment="1">
      <alignment horizontal="right" vertical="center" wrapText="1"/>
    </xf>
    <xf numFmtId="3" fontId="4" fillId="40" borderId="12" xfId="222" applyNumberFormat="1" applyFont="1" applyFill="1" applyBorder="1" applyAlignment="1">
      <alignment horizontal="right" vertical="center" wrapText="1"/>
    </xf>
    <xf numFmtId="0" fontId="38" fillId="0" borderId="70" xfId="222" applyFont="1" applyBorder="1" applyAlignment="1" applyProtection="1">
      <alignment horizontal="left" vertical="center" wrapText="1"/>
      <protection locked="0"/>
    </xf>
    <xf numFmtId="0" fontId="38" fillId="0" borderId="15" xfId="240" applyFont="1" applyBorder="1" applyAlignment="1">
      <alignment vertical="center" wrapText="1"/>
    </xf>
    <xf numFmtId="4" fontId="38" fillId="0" borderId="29" xfId="240" applyNumberFormat="1" applyFont="1" applyBorder="1" applyAlignment="1">
      <alignment vertical="center" wrapText="1"/>
    </xf>
    <xf numFmtId="0" fontId="47" fillId="40" borderId="11" xfId="240" applyFont="1" applyFill="1" applyBorder="1" applyAlignment="1" applyProtection="1">
      <alignment horizontal="left" vertical="center" wrapText="1"/>
      <protection locked="0"/>
    </xf>
    <xf numFmtId="0" fontId="38" fillId="0" borderId="49" xfId="222" applyFont="1" applyBorder="1" applyAlignment="1" applyProtection="1">
      <alignment horizontal="left" vertical="center" wrapText="1"/>
      <protection locked="0"/>
    </xf>
    <xf numFmtId="3" fontId="38" fillId="0" borderId="47" xfId="222" applyNumberFormat="1" applyFont="1" applyBorder="1" applyAlignment="1">
      <alignment horizontal="right" vertical="center" wrapText="1"/>
    </xf>
    <xf numFmtId="4" fontId="38" fillId="0" borderId="11" xfId="240" applyNumberFormat="1" applyFont="1" applyBorder="1" applyAlignment="1">
      <alignment vertical="center" wrapText="1"/>
    </xf>
    <xf numFmtId="3" fontId="38" fillId="40" borderId="71" xfId="222" applyNumberFormat="1" applyFont="1" applyFill="1" applyBorder="1" applyAlignment="1">
      <alignment horizontal="right" vertical="center" wrapText="1"/>
    </xf>
    <xf numFmtId="0" fontId="107" fillId="22" borderId="1" xfId="222" applyFont="1" applyFill="1" applyBorder="1" applyProtection="1">
      <protection locked="0"/>
    </xf>
    <xf numFmtId="0" fontId="38" fillId="22" borderId="0" xfId="222" applyFont="1" applyFill="1" applyProtection="1">
      <protection locked="0"/>
    </xf>
    <xf numFmtId="0" fontId="4" fillId="0" borderId="29" xfId="222" applyFont="1" applyBorder="1" applyAlignment="1" applyProtection="1">
      <alignment horizontal="left" vertical="center" wrapText="1"/>
      <protection locked="0"/>
    </xf>
    <xf numFmtId="0" fontId="4" fillId="31" borderId="11" xfId="222" applyFont="1" applyFill="1" applyBorder="1" applyAlignment="1" applyProtection="1">
      <alignment horizontal="left" vertical="center" wrapText="1"/>
      <protection locked="0"/>
    </xf>
    <xf numFmtId="3" fontId="47" fillId="40" borderId="11" xfId="240" applyNumberFormat="1" applyFont="1" applyFill="1" applyBorder="1" applyAlignment="1" applyProtection="1">
      <alignment horizontal="right" vertical="center" wrapText="1"/>
      <protection locked="0"/>
    </xf>
    <xf numFmtId="0" fontId="38" fillId="40" borderId="30" xfId="240" applyFont="1" applyFill="1" applyBorder="1" applyAlignment="1" applyProtection="1">
      <alignment horizontal="left" vertical="center" wrapText="1"/>
      <protection locked="0"/>
    </xf>
    <xf numFmtId="3" fontId="38" fillId="40" borderId="30" xfId="240" applyNumberFormat="1" applyFont="1" applyFill="1" applyBorder="1" applyAlignment="1" applyProtection="1">
      <alignment horizontal="right" vertical="center" wrapText="1"/>
      <protection locked="0"/>
    </xf>
    <xf numFmtId="3" fontId="38" fillId="40" borderId="30" xfId="222" applyNumberFormat="1" applyFont="1" applyFill="1" applyBorder="1" applyAlignment="1">
      <alignment horizontal="right" vertical="center" wrapText="1"/>
    </xf>
    <xf numFmtId="3" fontId="38" fillId="0" borderId="30" xfId="240" applyNumberFormat="1" applyFont="1" applyBorder="1" applyAlignment="1" applyProtection="1">
      <alignment horizontal="right" vertical="center" wrapText="1"/>
      <protection locked="0"/>
    </xf>
    <xf numFmtId="3" fontId="38" fillId="0" borderId="30" xfId="222" applyNumberFormat="1" applyFont="1" applyBorder="1" applyAlignment="1">
      <alignment horizontal="right" vertical="center" wrapText="1"/>
    </xf>
    <xf numFmtId="0" fontId="38" fillId="0" borderId="30" xfId="222" applyFont="1" applyBorder="1" applyAlignment="1" applyProtection="1">
      <alignment horizontal="left" vertical="center" wrapText="1"/>
      <protection locked="0"/>
    </xf>
    <xf numFmtId="3" fontId="38" fillId="0" borderId="48" xfId="222" applyNumberFormat="1" applyFont="1" applyBorder="1" applyAlignment="1">
      <alignment horizontal="right" vertical="center" wrapText="1"/>
    </xf>
    <xf numFmtId="0" fontId="38" fillId="40" borderId="19" xfId="222" applyFont="1" applyFill="1" applyBorder="1" applyAlignment="1" applyProtection="1">
      <alignment horizontal="left" vertical="center" wrapText="1"/>
      <protection locked="0"/>
    </xf>
    <xf numFmtId="0" fontId="107" fillId="55" borderId="70" xfId="222" applyFont="1" applyFill="1" applyBorder="1" applyAlignment="1" applyProtection="1">
      <alignment horizontal="left" wrapText="1"/>
      <protection locked="0"/>
    </xf>
    <xf numFmtId="3" fontId="109" fillId="55" borderId="29" xfId="222" applyNumberFormat="1" applyFont="1" applyFill="1" applyBorder="1" applyAlignment="1" applyProtection="1">
      <alignment horizontal="center" vertical="center"/>
      <protection locked="0"/>
    </xf>
    <xf numFmtId="0" fontId="107" fillId="0" borderId="31" xfId="222" applyFont="1" applyBorder="1" applyAlignment="1" applyProtection="1">
      <alignment vertical="center" wrapText="1"/>
      <protection locked="0"/>
    </xf>
    <xf numFmtId="3" fontId="107" fillId="0" borderId="16" xfId="222" applyNumberFormat="1" applyFont="1" applyBorder="1" applyAlignment="1" applyProtection="1">
      <alignment horizontal="right" wrapText="1"/>
      <protection locked="0"/>
    </xf>
    <xf numFmtId="0" fontId="38" fillId="40" borderId="64" xfId="240" applyFont="1" applyFill="1" applyBorder="1" applyAlignment="1" applyProtection="1">
      <alignment horizontal="left" vertical="center" wrapText="1"/>
      <protection locked="0"/>
    </xf>
    <xf numFmtId="3" fontId="38" fillId="40" borderId="65" xfId="240" applyNumberFormat="1" applyFont="1" applyFill="1" applyBorder="1" applyAlignment="1" applyProtection="1">
      <alignment horizontal="right" vertical="center" wrapText="1"/>
      <protection locked="0"/>
    </xf>
    <xf numFmtId="3" fontId="38" fillId="40" borderId="21" xfId="222" applyNumberFormat="1" applyFont="1" applyFill="1" applyBorder="1" applyAlignment="1">
      <alignment horizontal="right" vertical="center" wrapText="1"/>
    </xf>
    <xf numFmtId="0" fontId="38" fillId="0" borderId="65" xfId="222" applyFont="1" applyBorder="1" applyAlignment="1" applyProtection="1">
      <alignment horizontal="left" vertical="center" wrapText="1"/>
      <protection locked="0"/>
    </xf>
    <xf numFmtId="3" fontId="38" fillId="0" borderId="21" xfId="222" applyNumberFormat="1" applyFont="1" applyBorder="1" applyAlignment="1">
      <alignment horizontal="right" vertical="center" wrapText="1"/>
    </xf>
    <xf numFmtId="0" fontId="38" fillId="40" borderId="65" xfId="240" applyFont="1" applyFill="1" applyBorder="1" applyAlignment="1" applyProtection="1">
      <alignment horizontal="left" vertical="center" wrapText="1"/>
      <protection locked="0"/>
    </xf>
    <xf numFmtId="3" fontId="38" fillId="0" borderId="65" xfId="222" applyNumberFormat="1" applyFont="1" applyBorder="1" applyAlignment="1">
      <alignment horizontal="left" vertical="center" wrapText="1"/>
    </xf>
    <xf numFmtId="3" fontId="38" fillId="0" borderId="15" xfId="222" applyNumberFormat="1" applyFont="1" applyBorder="1" applyAlignment="1">
      <alignment horizontal="right" vertical="center" wrapText="1"/>
    </xf>
    <xf numFmtId="3" fontId="38" fillId="0" borderId="56" xfId="222" applyNumberFormat="1" applyFont="1" applyBorder="1" applyAlignment="1">
      <alignment horizontal="right" vertical="center" wrapText="1"/>
    </xf>
    <xf numFmtId="3" fontId="38" fillId="0" borderId="65" xfId="222" applyNumberFormat="1" applyFont="1" applyBorder="1" applyAlignment="1">
      <alignment horizontal="right" vertical="center" wrapText="1"/>
    </xf>
    <xf numFmtId="3" fontId="38" fillId="40" borderId="12" xfId="222" applyNumberFormat="1" applyFont="1" applyFill="1" applyBorder="1" applyAlignment="1">
      <alignment horizontal="right" vertical="center" wrapText="1"/>
    </xf>
    <xf numFmtId="0" fontId="107" fillId="0" borderId="35" xfId="222" applyFont="1" applyBorder="1" applyAlignment="1" applyProtection="1">
      <alignment vertical="center" wrapText="1"/>
      <protection locked="0"/>
    </xf>
    <xf numFmtId="0" fontId="38" fillId="40" borderId="57" xfId="240" applyFont="1" applyFill="1" applyBorder="1" applyAlignment="1" applyProtection="1">
      <alignment horizontal="left" vertical="center" wrapText="1"/>
      <protection locked="0"/>
    </xf>
    <xf numFmtId="3" fontId="38" fillId="40" borderId="49" xfId="240" applyNumberFormat="1" applyFont="1" applyFill="1" applyBorder="1" applyAlignment="1" applyProtection="1">
      <alignment horizontal="right" vertical="center" wrapText="1"/>
      <protection locked="0"/>
    </xf>
    <xf numFmtId="3" fontId="38" fillId="0" borderId="12" xfId="222" applyNumberFormat="1" applyFont="1" applyBorder="1" applyAlignment="1">
      <alignment horizontal="right" vertical="center" wrapText="1"/>
    </xf>
    <xf numFmtId="0" fontId="38" fillId="40" borderId="49" xfId="240" applyFont="1" applyFill="1" applyBorder="1" applyAlignment="1" applyProtection="1">
      <alignment horizontal="left" vertical="center" wrapText="1"/>
      <protection locked="0"/>
    </xf>
    <xf numFmtId="3" fontId="38" fillId="0" borderId="49" xfId="222" applyNumberFormat="1" applyFont="1" applyBorder="1" applyAlignment="1">
      <alignment horizontal="right" vertical="center" wrapText="1"/>
    </xf>
    <xf numFmtId="0" fontId="38" fillId="40" borderId="20" xfId="222" applyFont="1" applyFill="1" applyBorder="1" applyAlignment="1" applyProtection="1">
      <alignment horizontal="left" vertical="center" wrapText="1"/>
      <protection locked="0"/>
    </xf>
    <xf numFmtId="3" fontId="38" fillId="40" borderId="17" xfId="240" applyNumberFormat="1" applyFont="1" applyFill="1" applyBorder="1" applyAlignment="1" applyProtection="1">
      <alignment horizontal="right" vertical="center" wrapText="1"/>
      <protection locked="0"/>
    </xf>
    <xf numFmtId="3" fontId="38" fillId="40" borderId="17" xfId="222" applyNumberFormat="1" applyFont="1" applyFill="1" applyBorder="1" applyAlignment="1">
      <alignment horizontal="right" vertical="center" wrapText="1"/>
    </xf>
    <xf numFmtId="0" fontId="107" fillId="0" borderId="58" xfId="222" applyFont="1" applyBorder="1" applyAlignment="1" applyProtection="1">
      <alignment vertical="center" wrapText="1"/>
      <protection locked="0"/>
    </xf>
    <xf numFmtId="0" fontId="38" fillId="40" borderId="59" xfId="240" applyFont="1" applyFill="1" applyBorder="1" applyAlignment="1" applyProtection="1">
      <alignment horizontal="left" vertical="center" wrapText="1"/>
      <protection locked="0"/>
    </xf>
    <xf numFmtId="3" fontId="38" fillId="40" borderId="60" xfId="240" applyNumberFormat="1" applyFont="1" applyFill="1" applyBorder="1" applyAlignment="1" applyProtection="1">
      <alignment horizontal="right" vertical="center" wrapText="1"/>
      <protection locked="0"/>
    </xf>
    <xf numFmtId="0" fontId="38" fillId="0" borderId="60" xfId="222" applyFont="1" applyBorder="1" applyAlignment="1" applyProtection="1">
      <alignment horizontal="left" vertical="center" wrapText="1"/>
      <protection locked="0"/>
    </xf>
    <xf numFmtId="3" fontId="38" fillId="0" borderId="32" xfId="222" applyNumberFormat="1" applyFont="1" applyBorder="1" applyAlignment="1">
      <alignment horizontal="right" vertical="center" wrapText="1"/>
    </xf>
    <xf numFmtId="0" fontId="38" fillId="40" borderId="60" xfId="240" applyFont="1" applyFill="1" applyBorder="1" applyAlignment="1" applyProtection="1">
      <alignment horizontal="left" vertical="center" wrapText="1"/>
      <protection locked="0"/>
    </xf>
    <xf numFmtId="3" fontId="38" fillId="40" borderId="32" xfId="222" applyNumberFormat="1" applyFont="1" applyFill="1" applyBorder="1" applyAlignment="1">
      <alignment horizontal="right" vertical="center" wrapText="1"/>
    </xf>
    <xf numFmtId="3" fontId="38" fillId="0" borderId="14" xfId="222" applyNumberFormat="1" applyFont="1" applyBorder="1" applyAlignment="1">
      <alignment horizontal="right" vertical="center" wrapText="1"/>
    </xf>
    <xf numFmtId="3" fontId="38" fillId="0" borderId="60" xfId="222" applyNumberFormat="1" applyFont="1" applyBorder="1" applyAlignment="1">
      <alignment horizontal="right" vertical="center" wrapText="1"/>
    </xf>
    <xf numFmtId="0" fontId="107" fillId="41" borderId="61" xfId="240" applyFont="1" applyFill="1" applyBorder="1" applyAlignment="1">
      <alignment vertical="center" wrapText="1"/>
    </xf>
    <xf numFmtId="0" fontId="107" fillId="41" borderId="62" xfId="240" applyFont="1" applyFill="1" applyBorder="1" applyAlignment="1">
      <alignment vertical="center" wrapText="1"/>
    </xf>
    <xf numFmtId="0" fontId="107" fillId="41" borderId="62" xfId="240" applyFont="1" applyFill="1" applyBorder="1" applyAlignment="1" applyProtection="1">
      <alignment horizontal="left" vertical="center" wrapText="1"/>
      <protection locked="0"/>
    </xf>
    <xf numFmtId="3" fontId="107" fillId="41" borderId="62" xfId="240" applyNumberFormat="1" applyFont="1" applyFill="1" applyBorder="1" applyAlignment="1" applyProtection="1">
      <alignment horizontal="right" vertical="center" wrapText="1"/>
      <protection locked="0"/>
    </xf>
    <xf numFmtId="3" fontId="107" fillId="41" borderId="62" xfId="222" applyNumberFormat="1" applyFont="1" applyFill="1" applyBorder="1" applyAlignment="1">
      <alignment horizontal="right" vertical="center" wrapText="1"/>
    </xf>
    <xf numFmtId="0" fontId="107" fillId="41" borderId="62" xfId="222" applyFont="1" applyFill="1" applyBorder="1" applyAlignment="1" applyProtection="1">
      <alignment horizontal="left" vertical="center" wrapText="1"/>
      <protection locked="0"/>
    </xf>
    <xf numFmtId="3" fontId="107" fillId="41" borderId="63" xfId="222" applyNumberFormat="1" applyFont="1" applyFill="1" applyBorder="1" applyAlignment="1">
      <alignment horizontal="right" vertical="center" wrapText="1"/>
    </xf>
    <xf numFmtId="0" fontId="107" fillId="41" borderId="22" xfId="222" applyFont="1" applyFill="1" applyBorder="1" applyAlignment="1" applyProtection="1">
      <alignment horizontal="left" vertical="center" wrapText="1"/>
      <protection locked="0"/>
    </xf>
    <xf numFmtId="3" fontId="107" fillId="41" borderId="15" xfId="240" applyNumberFormat="1" applyFont="1" applyFill="1" applyBorder="1" applyAlignment="1" applyProtection="1">
      <alignment horizontal="right" vertical="center" wrapText="1"/>
      <protection locked="0"/>
    </xf>
    <xf numFmtId="3" fontId="107" fillId="41" borderId="15" xfId="222" applyNumberFormat="1" applyFont="1" applyFill="1" applyBorder="1" applyAlignment="1">
      <alignment horizontal="right" vertical="center" wrapText="1"/>
    </xf>
    <xf numFmtId="4" fontId="107" fillId="41" borderId="62" xfId="222" applyNumberFormat="1" applyFont="1" applyFill="1" applyBorder="1" applyAlignment="1">
      <alignment horizontal="right" vertical="center" wrapText="1"/>
    </xf>
    <xf numFmtId="0" fontId="107" fillId="0" borderId="0" xfId="222" applyFont="1" applyProtection="1">
      <protection locked="0"/>
    </xf>
    <xf numFmtId="43" fontId="38" fillId="0" borderId="0" xfId="136" applyFont="1" applyProtection="1">
      <protection locked="0"/>
    </xf>
    <xf numFmtId="3" fontId="38" fillId="0" borderId="0" xfId="222" applyNumberFormat="1" applyFont="1" applyProtection="1">
      <protection locked="0"/>
    </xf>
    <xf numFmtId="0" fontId="4" fillId="0" borderId="0" xfId="223" applyFont="1" applyProtection="1">
      <protection locked="0"/>
    </xf>
    <xf numFmtId="4" fontId="4" fillId="0" borderId="0" xfId="223" applyNumberFormat="1" applyFont="1" applyProtection="1">
      <protection locked="0"/>
    </xf>
    <xf numFmtId="3" fontId="4" fillId="0" borderId="0" xfId="223" applyNumberFormat="1" applyFont="1" applyProtection="1">
      <protection locked="0"/>
    </xf>
    <xf numFmtId="3" fontId="4" fillId="52" borderId="11" xfId="223" applyNumberFormat="1" applyFont="1" applyFill="1" applyBorder="1" applyAlignment="1" applyProtection="1">
      <alignment horizontal="center"/>
      <protection locked="0"/>
    </xf>
    <xf numFmtId="3" fontId="4" fillId="0" borderId="33" xfId="223" applyNumberFormat="1" applyFont="1" applyBorder="1" applyProtection="1">
      <protection locked="0"/>
    </xf>
    <xf numFmtId="3" fontId="4" fillId="0" borderId="34" xfId="223" applyNumberFormat="1" applyFont="1" applyBorder="1" applyProtection="1">
      <protection locked="0"/>
    </xf>
    <xf numFmtId="0" fontId="4" fillId="0" borderId="35" xfId="223" applyFont="1" applyBorder="1" applyAlignment="1">
      <alignment horizontal="left" vertical="center" wrapText="1"/>
    </xf>
    <xf numFmtId="3" fontId="4" fillId="0" borderId="11" xfId="223" applyNumberFormat="1" applyFont="1" applyBorder="1" applyAlignment="1">
      <alignment horizontal="right" vertical="center"/>
    </xf>
    <xf numFmtId="3" fontId="4" fillId="0" borderId="11" xfId="223" applyNumberFormat="1" applyFont="1" applyBorder="1" applyAlignment="1">
      <alignment vertical="center"/>
    </xf>
    <xf numFmtId="3" fontId="4" fillId="0" borderId="36" xfId="223" applyNumberFormat="1" applyFont="1" applyBorder="1" applyProtection="1">
      <protection locked="0"/>
    </xf>
    <xf numFmtId="3" fontId="4" fillId="41" borderId="37" xfId="223" applyNumberFormat="1" applyFont="1" applyFill="1" applyBorder="1" applyProtection="1">
      <protection locked="0"/>
    </xf>
    <xf numFmtId="3" fontId="4" fillId="41" borderId="0" xfId="223" applyNumberFormat="1" applyFont="1" applyFill="1" applyProtection="1">
      <protection locked="0"/>
    </xf>
    <xf numFmtId="3" fontId="4" fillId="41" borderId="36" xfId="223" applyNumberFormat="1" applyFont="1" applyFill="1" applyBorder="1" applyProtection="1">
      <protection locked="0"/>
    </xf>
    <xf numFmtId="0" fontId="4" fillId="0" borderId="11" xfId="223" applyFont="1" applyBorder="1" applyAlignment="1">
      <alignment horizontal="left" vertical="top" wrapText="1"/>
    </xf>
    <xf numFmtId="0" fontId="4" fillId="0" borderId="12" xfId="223" applyFont="1" applyBorder="1" applyAlignment="1">
      <alignment horizontal="left" vertical="top" wrapText="1"/>
    </xf>
    <xf numFmtId="3" fontId="4" fillId="0" borderId="11" xfId="223" applyNumberFormat="1" applyFont="1" applyBorder="1" applyAlignment="1" applyProtection="1">
      <alignment horizontal="center" vertical="center"/>
      <protection locked="0"/>
    </xf>
    <xf numFmtId="0" fontId="4" fillId="0" borderId="14" xfId="223" applyFont="1" applyBorder="1" applyAlignment="1">
      <alignment horizontal="left" vertical="center" wrapText="1"/>
    </xf>
    <xf numFmtId="3" fontId="4" fillId="0" borderId="14" xfId="223" applyNumberFormat="1" applyFont="1" applyBorder="1" applyAlignment="1">
      <alignment horizontal="right" vertical="center"/>
    </xf>
    <xf numFmtId="3" fontId="4" fillId="0" borderId="14" xfId="223" applyNumberFormat="1" applyFont="1" applyBorder="1" applyAlignment="1">
      <alignment horizontal="center" vertical="center"/>
    </xf>
    <xf numFmtId="3" fontId="4" fillId="41" borderId="38" xfId="223" applyNumberFormat="1" applyFont="1" applyFill="1" applyBorder="1" applyProtection="1">
      <protection locked="0"/>
    </xf>
    <xf numFmtId="3" fontId="4" fillId="41" borderId="24" xfId="223" applyNumberFormat="1" applyFont="1" applyFill="1" applyBorder="1" applyProtection="1">
      <protection locked="0"/>
    </xf>
    <xf numFmtId="3" fontId="4" fillId="54" borderId="11" xfId="223" applyNumberFormat="1" applyFont="1" applyFill="1" applyBorder="1" applyAlignment="1" applyProtection="1">
      <alignment horizontal="center"/>
      <protection locked="0"/>
    </xf>
    <xf numFmtId="3" fontId="4" fillId="0" borderId="32" xfId="223" applyNumberFormat="1" applyFont="1" applyBorder="1" applyProtection="1">
      <protection locked="0"/>
    </xf>
    <xf numFmtId="3" fontId="4" fillId="0" borderId="18" xfId="223" applyNumberFormat="1" applyFont="1" applyBorder="1" applyProtection="1">
      <protection locked="0"/>
    </xf>
    <xf numFmtId="3" fontId="4" fillId="0" borderId="19" xfId="223" applyNumberFormat="1" applyFont="1" applyBorder="1" applyProtection="1">
      <protection locked="0"/>
    </xf>
    <xf numFmtId="3" fontId="4" fillId="0" borderId="1" xfId="223" applyNumberFormat="1" applyFont="1" applyBorder="1" applyProtection="1">
      <protection locked="0"/>
    </xf>
    <xf numFmtId="3" fontId="4" fillId="0" borderId="20" xfId="223" applyNumberFormat="1" applyFont="1" applyBorder="1" applyProtection="1">
      <protection locked="0"/>
    </xf>
    <xf numFmtId="0" fontId="4" fillId="0" borderId="0" xfId="223" applyFont="1" applyAlignment="1" applyProtection="1">
      <alignment horizontal="right"/>
      <protection locked="0"/>
    </xf>
    <xf numFmtId="0" fontId="4" fillId="0" borderId="0" xfId="223" applyFont="1" applyAlignment="1" applyProtection="1">
      <alignment horizontal="center"/>
      <protection locked="0"/>
    </xf>
    <xf numFmtId="0" fontId="107" fillId="36" borderId="31" xfId="223" applyFont="1" applyFill="1" applyBorder="1" applyAlignment="1" applyProtection="1">
      <alignment horizontal="center"/>
      <protection locked="0"/>
    </xf>
    <xf numFmtId="3" fontId="107" fillId="36" borderId="22" xfId="223" applyNumberFormat="1" applyFont="1" applyFill="1" applyBorder="1" applyAlignment="1">
      <alignment horizontal="right"/>
    </xf>
    <xf numFmtId="4" fontId="107" fillId="52" borderId="15" xfId="223" applyNumberFormat="1" applyFont="1" applyFill="1" applyBorder="1" applyAlignment="1">
      <alignment horizontal="center"/>
    </xf>
    <xf numFmtId="3" fontId="107" fillId="52" borderId="13" xfId="223" applyNumberFormat="1" applyFont="1" applyFill="1" applyBorder="1" applyAlignment="1" applyProtection="1">
      <alignment horizontal="right"/>
      <protection locked="0"/>
    </xf>
    <xf numFmtId="3" fontId="107" fillId="52" borderId="11" xfId="223" applyNumberFormat="1" applyFont="1" applyFill="1" applyBorder="1" applyAlignment="1" applyProtection="1">
      <alignment horizontal="center"/>
      <protection locked="0"/>
    </xf>
    <xf numFmtId="3" fontId="107" fillId="0" borderId="13" xfId="223" applyNumberFormat="1" applyFont="1" applyBorder="1" applyAlignment="1">
      <alignment horizontal="right" vertical="center"/>
    </xf>
    <xf numFmtId="3" fontId="107" fillId="0" borderId="13" xfId="223" applyNumberFormat="1" applyFont="1" applyBorder="1" applyAlignment="1">
      <alignment vertical="center"/>
    </xf>
    <xf numFmtId="3" fontId="107" fillId="52" borderId="13" xfId="223" applyNumberFormat="1" applyFont="1" applyFill="1" applyBorder="1" applyAlignment="1" applyProtection="1">
      <alignment horizontal="center"/>
      <protection locked="0"/>
    </xf>
    <xf numFmtId="3" fontId="107" fillId="0" borderId="11" xfId="223" applyNumberFormat="1" applyFont="1" applyBorder="1" applyAlignment="1">
      <alignment horizontal="right" vertical="center"/>
    </xf>
    <xf numFmtId="3" fontId="38" fillId="0" borderId="32" xfId="227" applyNumberFormat="1" applyFont="1" applyBorder="1" applyProtection="1">
      <protection locked="0"/>
    </xf>
    <xf numFmtId="3" fontId="38" fillId="0" borderId="18" xfId="227" applyNumberFormat="1" applyFont="1" applyBorder="1" applyProtection="1">
      <protection locked="0"/>
    </xf>
    <xf numFmtId="3" fontId="38" fillId="0" borderId="19" xfId="227" applyNumberFormat="1" applyFont="1" applyBorder="1" applyProtection="1">
      <protection locked="0"/>
    </xf>
    <xf numFmtId="3" fontId="38" fillId="0" borderId="11" xfId="223" applyNumberFormat="1" applyFont="1" applyBorder="1" applyAlignment="1">
      <alignment horizontal="right" vertical="center"/>
    </xf>
    <xf numFmtId="3" fontId="38" fillId="0" borderId="1" xfId="227" applyNumberFormat="1" applyFont="1" applyBorder="1" applyProtection="1">
      <protection locked="0"/>
    </xf>
    <xf numFmtId="3" fontId="38" fillId="0" borderId="0" xfId="227" applyNumberFormat="1" applyFont="1" applyProtection="1">
      <protection locked="0"/>
    </xf>
    <xf numFmtId="3" fontId="38" fillId="0" borderId="20" xfId="227" applyNumberFormat="1" applyFont="1" applyBorder="1" applyProtection="1">
      <protection locked="0"/>
    </xf>
    <xf numFmtId="3" fontId="38" fillId="0" borderId="21" xfId="227" applyNumberFormat="1" applyFont="1" applyBorder="1" applyProtection="1">
      <protection locked="0"/>
    </xf>
    <xf numFmtId="3" fontId="38" fillId="0" borderId="16" xfId="227" applyNumberFormat="1" applyFont="1" applyBorder="1" applyProtection="1">
      <protection locked="0"/>
    </xf>
    <xf numFmtId="3" fontId="38" fillId="0" borderId="22" xfId="227" applyNumberFormat="1" applyFont="1" applyBorder="1" applyProtection="1">
      <protection locked="0"/>
    </xf>
    <xf numFmtId="3" fontId="109" fillId="54" borderId="13" xfId="223" applyNumberFormat="1" applyFont="1" applyFill="1" applyBorder="1" applyProtection="1">
      <protection locked="0"/>
    </xf>
    <xf numFmtId="3" fontId="109" fillId="54" borderId="11" xfId="223" applyNumberFormat="1" applyFont="1" applyFill="1" applyBorder="1" applyAlignment="1" applyProtection="1">
      <alignment horizontal="center"/>
      <protection locked="0"/>
    </xf>
    <xf numFmtId="3" fontId="107" fillId="0" borderId="11" xfId="223" applyNumberFormat="1" applyFont="1" applyBorder="1" applyAlignment="1">
      <alignment horizontal="right"/>
    </xf>
    <xf numFmtId="0" fontId="107" fillId="0" borderId="11" xfId="223" applyFont="1" applyBorder="1" applyAlignment="1">
      <alignment vertical="top" wrapText="1"/>
    </xf>
    <xf numFmtId="0" fontId="110" fillId="0" borderId="11" xfId="223" applyFont="1" applyBorder="1" applyAlignment="1">
      <alignment vertical="top" wrapText="1"/>
    </xf>
    <xf numFmtId="0" fontId="38" fillId="0" borderId="0" xfId="223" applyFont="1" applyProtection="1">
      <protection locked="0"/>
    </xf>
    <xf numFmtId="3" fontId="68" fillId="0" borderId="29" xfId="240" applyNumberFormat="1" applyFont="1" applyBorder="1" applyAlignment="1">
      <alignment vertical="center" wrapText="1"/>
    </xf>
    <xf numFmtId="0" fontId="62" fillId="0" borderId="11" xfId="240" applyBorder="1" applyAlignment="1">
      <alignment vertical="center" wrapText="1"/>
    </xf>
    <xf numFmtId="0" fontId="62" fillId="0" borderId="14" xfId="240" applyBorder="1" applyAlignment="1">
      <alignment vertical="center" wrapText="1"/>
    </xf>
    <xf numFmtId="0" fontId="62" fillId="0" borderId="30" xfId="240" applyBorder="1" applyAlignment="1">
      <alignment vertical="center" wrapText="1"/>
    </xf>
    <xf numFmtId="0" fontId="68" fillId="0" borderId="35" xfId="222" applyFont="1" applyBorder="1" applyAlignment="1" applyProtection="1">
      <alignment horizontal="left" vertical="center" wrapText="1"/>
      <protection locked="0"/>
    </xf>
    <xf numFmtId="0" fontId="62" fillId="22" borderId="38" xfId="24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38" fillId="0" borderId="11" xfId="240" applyFont="1" applyBorder="1" applyAlignment="1">
      <alignment vertical="center" wrapText="1"/>
    </xf>
    <xf numFmtId="0" fontId="38" fillId="0" borderId="14" xfId="240" applyFont="1" applyBorder="1" applyAlignment="1">
      <alignment vertical="center" wrapText="1"/>
    </xf>
    <xf numFmtId="0" fontId="38" fillId="22" borderId="38" xfId="240" applyFont="1" applyFill="1" applyBorder="1" applyAlignment="1">
      <alignment wrapText="1"/>
    </xf>
    <xf numFmtId="0" fontId="107" fillId="0" borderId="35" xfId="222" applyFont="1" applyBorder="1" applyAlignment="1" applyProtection="1">
      <alignment horizontal="left" vertical="center" wrapText="1"/>
      <protection locked="0"/>
    </xf>
    <xf numFmtId="0" fontId="89" fillId="0" borderId="11" xfId="210" applyFont="1" applyBorder="1" applyAlignment="1">
      <alignment horizontal="center" vertical="center" wrapText="1"/>
    </xf>
    <xf numFmtId="0" fontId="89" fillId="0" borderId="30" xfId="210" applyFont="1" applyBorder="1" applyAlignment="1">
      <alignment horizontal="center" vertical="center" wrapText="1"/>
    </xf>
    <xf numFmtId="0" fontId="90" fillId="45" borderId="11" xfId="210" applyFont="1" applyFill="1" applyBorder="1" applyAlignment="1">
      <alignment horizontal="center" vertical="center" wrapText="1"/>
    </xf>
    <xf numFmtId="0" fontId="99" fillId="45" borderId="11" xfId="210" applyFont="1" applyFill="1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 wrapText="1"/>
    </xf>
    <xf numFmtId="0" fontId="0" fillId="32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3" fillId="31" borderId="0" xfId="0" applyFont="1" applyFill="1" applyAlignment="1">
      <alignment horizontal="center"/>
    </xf>
    <xf numFmtId="0" fontId="0" fillId="31" borderId="0" xfId="0" applyFill="1" applyAlignment="1">
      <alignment vertical="center"/>
    </xf>
    <xf numFmtId="0" fontId="0" fillId="0" borderId="17" xfId="0" applyBorder="1" applyAlignment="1">
      <alignment horizontal="center" vertical="center" wrapText="1"/>
    </xf>
    <xf numFmtId="3" fontId="0" fillId="0" borderId="14" xfId="0" applyNumberForma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4" fillId="0" borderId="0" xfId="239" applyFont="1" applyAlignment="1">
      <alignment horizontal="left"/>
    </xf>
    <xf numFmtId="0" fontId="67" fillId="37" borderId="37" xfId="240" applyFont="1" applyFill="1" applyBorder="1" applyAlignment="1">
      <alignment horizontal="center" vertical="center" wrapText="1"/>
    </xf>
    <xf numFmtId="0" fontId="67" fillId="37" borderId="0" xfId="24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7" fillId="37" borderId="74" xfId="240" applyFont="1" applyFill="1" applyBorder="1" applyAlignment="1">
      <alignment horizontal="center" vertical="center" wrapText="1"/>
    </xf>
    <xf numFmtId="0" fontId="67" fillId="37" borderId="38" xfId="240" applyFont="1" applyFill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82" fillId="37" borderId="33" xfId="222" applyFont="1" applyFill="1" applyBorder="1" applyAlignment="1" applyProtection="1">
      <alignment horizontal="left" vertical="center" wrapText="1"/>
      <protection locked="0"/>
    </xf>
    <xf numFmtId="0" fontId="83" fillId="0" borderId="33" xfId="240" applyFont="1" applyBorder="1" applyAlignment="1">
      <alignment horizontal="left" vertical="center" wrapText="1"/>
    </xf>
    <xf numFmtId="0" fontId="82" fillId="37" borderId="37" xfId="222" applyFont="1" applyFill="1" applyBorder="1" applyAlignment="1" applyProtection="1">
      <alignment horizontal="left" wrapText="1"/>
      <protection locked="0"/>
    </xf>
    <xf numFmtId="0" fontId="83" fillId="0" borderId="0" xfId="240" applyFont="1" applyAlignment="1">
      <alignment horizontal="left" wrapText="1"/>
    </xf>
    <xf numFmtId="0" fontId="70" fillId="53" borderId="70" xfId="240" applyFont="1" applyFill="1" applyBorder="1" applyAlignment="1" applyProtection="1">
      <alignment horizontal="center" vertical="center" wrapText="1"/>
      <protection locked="0"/>
    </xf>
    <xf numFmtId="0" fontId="70" fillId="53" borderId="55" xfId="240" applyFont="1" applyFill="1" applyBorder="1" applyAlignment="1" applyProtection="1">
      <alignment horizontal="center" vertical="center"/>
      <protection locked="0"/>
    </xf>
    <xf numFmtId="0" fontId="70" fillId="53" borderId="49" xfId="240" applyFont="1" applyFill="1" applyBorder="1" applyAlignment="1" applyProtection="1">
      <alignment horizontal="center" vertical="center"/>
      <protection locked="0"/>
    </xf>
    <xf numFmtId="0" fontId="70" fillId="53" borderId="47" xfId="240" applyFont="1" applyFill="1" applyBorder="1" applyAlignment="1" applyProtection="1">
      <alignment horizontal="center" vertical="center"/>
      <protection locked="0"/>
    </xf>
    <xf numFmtId="0" fontId="70" fillId="53" borderId="50" xfId="240" applyFont="1" applyFill="1" applyBorder="1" applyAlignment="1" applyProtection="1">
      <alignment horizontal="center" vertical="center"/>
      <protection locked="0"/>
    </xf>
    <xf numFmtId="0" fontId="70" fillId="53" borderId="48" xfId="240" applyFont="1" applyFill="1" applyBorder="1" applyAlignment="1" applyProtection="1">
      <alignment horizontal="center" vertical="center"/>
      <protection locked="0"/>
    </xf>
    <xf numFmtId="0" fontId="84" fillId="37" borderId="37" xfId="222" applyFont="1" applyFill="1" applyBorder="1" applyAlignment="1" applyProtection="1">
      <alignment horizontal="left" wrapText="1"/>
      <protection locked="0"/>
    </xf>
    <xf numFmtId="0" fontId="68" fillId="38" borderId="22" xfId="222" applyFont="1" applyFill="1" applyBorder="1" applyAlignment="1" applyProtection="1">
      <alignment horizontal="center" vertical="center"/>
      <protection locked="0"/>
    </xf>
    <xf numFmtId="0" fontId="62" fillId="38" borderId="15" xfId="240" applyFill="1" applyBorder="1" applyAlignment="1" applyProtection="1">
      <alignment horizontal="center" vertical="center"/>
      <protection locked="0"/>
    </xf>
    <xf numFmtId="0" fontId="68" fillId="0" borderId="35" xfId="222" applyFont="1" applyBorder="1" applyAlignment="1" applyProtection="1">
      <alignment horizontal="left" vertical="center" wrapText="1"/>
      <protection locked="0"/>
    </xf>
    <xf numFmtId="0" fontId="68" fillId="57" borderId="70" xfId="240" applyFont="1" applyFill="1" applyBorder="1" applyAlignment="1" applyProtection="1">
      <alignment vertical="center" wrapText="1"/>
      <protection locked="0"/>
    </xf>
    <xf numFmtId="0" fontId="68" fillId="57" borderId="49" xfId="240" applyFont="1" applyFill="1" applyBorder="1" applyAlignment="1" applyProtection="1">
      <alignment vertical="center" wrapText="1"/>
      <protection locked="0"/>
    </xf>
    <xf numFmtId="0" fontId="68" fillId="57" borderId="50" xfId="240" applyFont="1" applyFill="1" applyBorder="1" applyAlignment="1" applyProtection="1">
      <alignment vertical="center" wrapText="1"/>
      <protection locked="0"/>
    </xf>
    <xf numFmtId="3" fontId="68" fillId="0" borderId="29" xfId="240" applyNumberFormat="1" applyFont="1" applyBorder="1" applyAlignment="1">
      <alignment vertical="center" wrapText="1"/>
    </xf>
    <xf numFmtId="0" fontId="62" fillId="0" borderId="11" xfId="240" applyBorder="1" applyAlignment="1">
      <alignment vertical="center" wrapText="1"/>
    </xf>
    <xf numFmtId="0" fontId="62" fillId="0" borderId="14" xfId="240" applyBorder="1" applyAlignment="1">
      <alignment vertical="center" wrapText="1"/>
    </xf>
    <xf numFmtId="0" fontId="62" fillId="0" borderId="30" xfId="240" applyBorder="1" applyAlignment="1">
      <alignment vertical="center" wrapText="1"/>
    </xf>
    <xf numFmtId="0" fontId="68" fillId="38" borderId="29" xfId="222" applyFont="1" applyFill="1" applyBorder="1" applyAlignment="1" applyProtection="1">
      <alignment horizontal="center" vertical="center"/>
      <protection locked="0"/>
    </xf>
    <xf numFmtId="0" fontId="62" fillId="38" borderId="29" xfId="240" applyFill="1" applyBorder="1" applyAlignment="1" applyProtection="1">
      <alignment horizontal="center" vertical="center"/>
      <protection locked="0"/>
    </xf>
    <xf numFmtId="0" fontId="62" fillId="38" borderId="55" xfId="240" applyFill="1" applyBorder="1" applyAlignment="1" applyProtection="1">
      <alignment horizontal="center" vertical="center"/>
      <protection locked="0"/>
    </xf>
    <xf numFmtId="0" fontId="82" fillId="55" borderId="71" xfId="222" applyFont="1" applyFill="1" applyBorder="1" applyAlignment="1" applyProtection="1">
      <alignment horizontal="center" vertical="center" wrapText="1"/>
      <protection locked="0"/>
    </xf>
    <xf numFmtId="0" fontId="83" fillId="55" borderId="73" xfId="240" applyFont="1" applyFill="1" applyBorder="1" applyAlignment="1">
      <alignment vertical="center" wrapText="1"/>
    </xf>
    <xf numFmtId="0" fontId="68" fillId="57" borderId="29" xfId="240" applyFont="1" applyFill="1" applyBorder="1" applyAlignment="1" applyProtection="1">
      <alignment vertical="center" wrapText="1"/>
      <protection locked="0"/>
    </xf>
    <xf numFmtId="0" fontId="68" fillId="57" borderId="11" xfId="240" applyFont="1" applyFill="1" applyBorder="1" applyAlignment="1" applyProtection="1">
      <alignment vertical="center" wrapText="1"/>
      <protection locked="0"/>
    </xf>
    <xf numFmtId="0" fontId="68" fillId="57" borderId="30" xfId="240" applyFont="1" applyFill="1" applyBorder="1" applyAlignment="1" applyProtection="1">
      <alignment vertical="center" wrapText="1"/>
      <protection locked="0"/>
    </xf>
    <xf numFmtId="0" fontId="68" fillId="22" borderId="68" xfId="222" applyFont="1" applyFill="1" applyBorder="1" applyAlignment="1" applyProtection="1">
      <alignment horizontal="center" wrapText="1"/>
      <protection locked="0"/>
    </xf>
    <xf numFmtId="0" fontId="62" fillId="22" borderId="38" xfId="240" applyFill="1" applyBorder="1" applyAlignment="1">
      <alignment wrapText="1"/>
    </xf>
    <xf numFmtId="0" fontId="68" fillId="53" borderId="70" xfId="222" applyFont="1" applyFill="1" applyBorder="1" applyAlignment="1" applyProtection="1">
      <alignment horizontal="center" vertical="center"/>
      <protection locked="0"/>
    </xf>
    <xf numFmtId="0" fontId="62" fillId="53" borderId="55" xfId="240" applyFill="1" applyBorder="1" applyAlignment="1" applyProtection="1">
      <alignment horizontal="center" vertical="center"/>
      <protection locked="0"/>
    </xf>
    <xf numFmtId="0" fontId="68" fillId="53" borderId="49" xfId="222" applyFont="1" applyFill="1" applyBorder="1" applyAlignment="1" applyProtection="1">
      <alignment horizontal="center" vertical="center"/>
      <protection locked="0"/>
    </xf>
    <xf numFmtId="0" fontId="62" fillId="53" borderId="47" xfId="240" applyFill="1" applyBorder="1" applyAlignment="1" applyProtection="1">
      <alignment horizontal="center" vertical="center"/>
      <protection locked="0"/>
    </xf>
    <xf numFmtId="0" fontId="62" fillId="53" borderId="50" xfId="240" applyFill="1" applyBorder="1" applyAlignment="1" applyProtection="1">
      <alignment horizontal="center" vertical="center"/>
      <protection locked="0"/>
    </xf>
    <xf numFmtId="0" fontId="62" fillId="53" borderId="48" xfId="240" applyFill="1" applyBorder="1" applyAlignment="1" applyProtection="1">
      <alignment horizontal="center" vertical="center"/>
      <protection locked="0"/>
    </xf>
    <xf numFmtId="0" fontId="68" fillId="38" borderId="33" xfId="222" applyFont="1" applyFill="1" applyBorder="1" applyAlignment="1" applyProtection="1">
      <alignment horizontal="center" vertical="center" wrapText="1"/>
      <protection locked="0"/>
    </xf>
    <xf numFmtId="0" fontId="62" fillId="0" borderId="33" xfId="240" applyBorder="1" applyAlignment="1">
      <alignment horizontal="center" vertical="center" wrapText="1"/>
    </xf>
    <xf numFmtId="0" fontId="62" fillId="0" borderId="34" xfId="240" applyBorder="1" applyAlignment="1">
      <alignment horizontal="center" vertical="center" wrapText="1"/>
    </xf>
    <xf numFmtId="0" fontId="62" fillId="0" borderId="38" xfId="240" applyBorder="1" applyAlignment="1">
      <alignment horizontal="center" vertical="center" wrapText="1"/>
    </xf>
    <xf numFmtId="0" fontId="62" fillId="0" borderId="24" xfId="240" applyBorder="1" applyAlignment="1">
      <alignment horizontal="center" vertical="center" wrapText="1"/>
    </xf>
    <xf numFmtId="0" fontId="68" fillId="38" borderId="54" xfId="222" applyFont="1" applyFill="1" applyBorder="1" applyAlignment="1" applyProtection="1">
      <alignment horizontal="center" vertical="center" wrapText="1"/>
      <protection locked="0"/>
    </xf>
    <xf numFmtId="0" fontId="62" fillId="0" borderId="29" xfId="240" applyBorder="1" applyAlignment="1">
      <alignment horizontal="center" vertical="center" wrapText="1"/>
    </xf>
    <xf numFmtId="0" fontId="62" fillId="0" borderId="13" xfId="240" applyBorder="1" applyAlignment="1">
      <alignment horizontal="center" vertical="center" wrapText="1"/>
    </xf>
    <xf numFmtId="0" fontId="62" fillId="0" borderId="11" xfId="240" applyBorder="1" applyAlignment="1">
      <alignment horizontal="center" vertical="center" wrapText="1"/>
    </xf>
    <xf numFmtId="0" fontId="62" fillId="57" borderId="11" xfId="240" applyFill="1" applyBorder="1" applyAlignment="1">
      <alignment vertical="center" wrapText="1"/>
    </xf>
    <xf numFmtId="0" fontId="62" fillId="57" borderId="14" xfId="240" applyFill="1" applyBorder="1" applyAlignment="1">
      <alignment vertical="center" wrapText="1"/>
    </xf>
    <xf numFmtId="0" fontId="62" fillId="57" borderId="30" xfId="240" applyFill="1" applyBorder="1" applyAlignment="1">
      <alignment vertical="center" wrapText="1"/>
    </xf>
    <xf numFmtId="0" fontId="68" fillId="57" borderId="14" xfId="240" applyFont="1" applyFill="1" applyBorder="1" applyAlignment="1" applyProtection="1">
      <alignment vertical="center" wrapText="1"/>
      <protection locked="0"/>
    </xf>
    <xf numFmtId="0" fontId="96" fillId="0" borderId="16" xfId="291" applyFont="1" applyBorder="1" applyAlignment="1">
      <alignment horizontal="center"/>
    </xf>
    <xf numFmtId="0" fontId="107" fillId="55" borderId="71" xfId="222" applyFont="1" applyFill="1" applyBorder="1" applyAlignment="1" applyProtection="1">
      <alignment horizontal="center" vertical="center" wrapText="1"/>
      <protection locked="0"/>
    </xf>
    <xf numFmtId="0" fontId="38" fillId="55" borderId="73" xfId="240" applyFont="1" applyFill="1" applyBorder="1" applyAlignment="1">
      <alignment vertical="center" wrapText="1"/>
    </xf>
    <xf numFmtId="0" fontId="107" fillId="0" borderId="35" xfId="222" applyFont="1" applyBorder="1" applyAlignment="1" applyProtection="1">
      <alignment horizontal="left" vertical="center" wrapText="1"/>
      <protection locked="0"/>
    </xf>
    <xf numFmtId="0" fontId="107" fillId="57" borderId="70" xfId="240" applyFont="1" applyFill="1" applyBorder="1" applyAlignment="1" applyProtection="1">
      <alignment vertical="center" wrapText="1"/>
      <protection locked="0"/>
    </xf>
    <xf numFmtId="0" fontId="107" fillId="57" borderId="49" xfId="240" applyFont="1" applyFill="1" applyBorder="1" applyAlignment="1" applyProtection="1">
      <alignment vertical="center" wrapText="1"/>
      <protection locked="0"/>
    </xf>
    <xf numFmtId="0" fontId="107" fillId="57" borderId="50" xfId="240" applyFont="1" applyFill="1" applyBorder="1" applyAlignment="1" applyProtection="1">
      <alignment vertical="center" wrapText="1"/>
      <protection locked="0"/>
    </xf>
    <xf numFmtId="3" fontId="107" fillId="0" borderId="29" xfId="240" applyNumberFormat="1" applyFont="1" applyBorder="1" applyAlignment="1">
      <alignment vertical="center" wrapText="1"/>
    </xf>
    <xf numFmtId="0" fontId="38" fillId="0" borderId="11" xfId="240" applyFont="1" applyBorder="1" applyAlignment="1">
      <alignment vertical="center" wrapText="1"/>
    </xf>
    <xf numFmtId="0" fontId="38" fillId="0" borderId="14" xfId="240" applyFont="1" applyBorder="1" applyAlignment="1">
      <alignment vertical="center" wrapText="1"/>
    </xf>
    <xf numFmtId="0" fontId="38" fillId="0" borderId="30" xfId="240" applyFont="1" applyBorder="1" applyAlignment="1">
      <alignment vertical="center" wrapText="1"/>
    </xf>
    <xf numFmtId="0" fontId="107" fillId="57" borderId="76" xfId="240" applyFont="1" applyFill="1" applyBorder="1" applyAlignment="1" applyProtection="1">
      <alignment vertical="center" wrapText="1"/>
      <protection locked="0"/>
    </xf>
    <xf numFmtId="0" fontId="107" fillId="57" borderId="77" xfId="240" applyFont="1" applyFill="1" applyBorder="1" applyAlignment="1" applyProtection="1">
      <alignment vertical="center" wrapText="1"/>
      <protection locked="0"/>
    </xf>
    <xf numFmtId="0" fontId="4" fillId="0" borderId="77" xfId="0" applyFont="1" applyBorder="1" applyAlignment="1">
      <alignment vertical="center" wrapText="1"/>
    </xf>
    <xf numFmtId="0" fontId="4" fillId="0" borderId="78" xfId="0" applyFont="1" applyBorder="1" applyAlignment="1">
      <alignment vertical="center" wrapText="1"/>
    </xf>
    <xf numFmtId="3" fontId="107" fillId="0" borderId="46" xfId="240" applyNumberFormat="1" applyFont="1" applyFill="1" applyBorder="1" applyAlignment="1">
      <alignment vertical="center" wrapText="1"/>
    </xf>
    <xf numFmtId="3" fontId="107" fillId="0" borderId="17" xfId="240" applyNumberFormat="1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107" fillId="37" borderId="33" xfId="222" applyFont="1" applyFill="1" applyBorder="1" applyAlignment="1" applyProtection="1">
      <alignment horizontal="left" vertical="center" wrapText="1"/>
      <protection locked="0"/>
    </xf>
    <xf numFmtId="0" fontId="38" fillId="0" borderId="33" xfId="240" applyFont="1" applyBorder="1" applyAlignment="1">
      <alignment horizontal="left" vertical="center" wrapText="1"/>
    </xf>
    <xf numFmtId="0" fontId="110" fillId="57" borderId="11" xfId="240" applyFont="1" applyFill="1" applyBorder="1" applyAlignment="1">
      <alignment vertical="center" wrapText="1"/>
    </xf>
    <xf numFmtId="0" fontId="38" fillId="57" borderId="14" xfId="240" applyFont="1" applyFill="1" applyBorder="1" applyAlignment="1">
      <alignment vertical="center" wrapText="1"/>
    </xf>
    <xf numFmtId="0" fontId="107" fillId="57" borderId="19" xfId="240" applyFont="1" applyFill="1" applyBorder="1" applyAlignment="1" applyProtection="1">
      <alignment vertical="center" wrapText="1"/>
      <protection locked="0"/>
    </xf>
    <xf numFmtId="0" fontId="107" fillId="57" borderId="20" xfId="240" applyFont="1" applyFill="1" applyBorder="1" applyAlignment="1" applyProtection="1">
      <alignment vertical="center" wrapText="1"/>
      <protection locked="0"/>
    </xf>
    <xf numFmtId="0" fontId="107" fillId="22" borderId="68" xfId="222" applyFont="1" applyFill="1" applyBorder="1" applyAlignment="1" applyProtection="1">
      <alignment horizontal="center" wrapText="1"/>
      <protection locked="0"/>
    </xf>
    <xf numFmtId="0" fontId="38" fillId="22" borderId="38" xfId="240" applyFont="1" applyFill="1" applyBorder="1" applyAlignment="1">
      <alignment wrapText="1"/>
    </xf>
    <xf numFmtId="0" fontId="3" fillId="37" borderId="37" xfId="222" applyFont="1" applyFill="1" applyBorder="1" applyAlignment="1" applyProtection="1">
      <alignment horizontal="left" wrapText="1"/>
      <protection locked="0"/>
    </xf>
    <xf numFmtId="0" fontId="38" fillId="0" borderId="0" xfId="240" applyFont="1" applyAlignment="1">
      <alignment horizontal="left" wrapText="1"/>
    </xf>
    <xf numFmtId="0" fontId="107" fillId="37" borderId="11" xfId="222" applyFont="1" applyFill="1" applyBorder="1" applyAlignment="1" applyProtection="1">
      <alignment horizontal="left" wrapText="1"/>
      <protection locked="0"/>
    </xf>
    <xf numFmtId="0" fontId="38" fillId="0" borderId="11" xfId="240" applyFont="1" applyBorder="1" applyAlignment="1">
      <alignment horizontal="left" wrapText="1"/>
    </xf>
    <xf numFmtId="0" fontId="107" fillId="57" borderId="75" xfId="240" applyFont="1" applyFill="1" applyBorder="1" applyAlignment="1" applyProtection="1">
      <alignment vertical="center" wrapText="1"/>
      <protection locked="0"/>
    </xf>
    <xf numFmtId="0" fontId="4" fillId="0" borderId="22" xfId="0" applyFont="1" applyBorder="1" applyAlignment="1">
      <alignment vertical="center" wrapText="1"/>
    </xf>
    <xf numFmtId="0" fontId="107" fillId="37" borderId="37" xfId="240" applyFont="1" applyFill="1" applyBorder="1" applyAlignment="1">
      <alignment horizontal="center" vertical="center" wrapText="1"/>
    </xf>
    <xf numFmtId="0" fontId="107" fillId="37" borderId="0" xfId="24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107" fillId="37" borderId="74" xfId="240" applyFont="1" applyFill="1" applyBorder="1" applyAlignment="1">
      <alignment horizontal="center" vertical="center" wrapText="1"/>
    </xf>
    <xf numFmtId="0" fontId="107" fillId="37" borderId="38" xfId="24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wrapText="1"/>
    </xf>
    <xf numFmtId="0" fontId="107" fillId="53" borderId="70" xfId="222" applyFont="1" applyFill="1" applyBorder="1" applyAlignment="1" applyProtection="1">
      <alignment horizontal="center" vertical="center"/>
      <protection locked="0"/>
    </xf>
    <xf numFmtId="0" fontId="107" fillId="53" borderId="55" xfId="240" applyFont="1" applyFill="1" applyBorder="1" applyAlignment="1" applyProtection="1">
      <alignment horizontal="center" vertical="center"/>
      <protection locked="0"/>
    </xf>
    <xf numFmtId="0" fontId="107" fillId="53" borderId="49" xfId="222" applyFont="1" applyFill="1" applyBorder="1" applyAlignment="1" applyProtection="1">
      <alignment horizontal="center" vertical="center"/>
      <protection locked="0"/>
    </xf>
    <xf numFmtId="0" fontId="107" fillId="53" borderId="47" xfId="240" applyFont="1" applyFill="1" applyBorder="1" applyAlignment="1" applyProtection="1">
      <alignment horizontal="center" vertical="center"/>
      <protection locked="0"/>
    </xf>
    <xf numFmtId="0" fontId="107" fillId="53" borderId="50" xfId="240" applyFont="1" applyFill="1" applyBorder="1" applyAlignment="1" applyProtection="1">
      <alignment horizontal="center" vertical="center"/>
      <protection locked="0"/>
    </xf>
    <xf numFmtId="0" fontId="107" fillId="53" borderId="48" xfId="240" applyFont="1" applyFill="1" applyBorder="1" applyAlignment="1" applyProtection="1">
      <alignment horizontal="center" vertical="center"/>
      <protection locked="0"/>
    </xf>
    <xf numFmtId="0" fontId="107" fillId="38" borderId="33" xfId="222" applyFont="1" applyFill="1" applyBorder="1" applyAlignment="1" applyProtection="1">
      <alignment horizontal="center" vertical="center" wrapText="1"/>
      <protection locked="0"/>
    </xf>
    <xf numFmtId="0" fontId="38" fillId="0" borderId="33" xfId="240" applyFont="1" applyBorder="1" applyAlignment="1">
      <alignment horizontal="center" vertical="center" wrapText="1"/>
    </xf>
    <xf numFmtId="0" fontId="38" fillId="0" borderId="34" xfId="240" applyFont="1" applyBorder="1" applyAlignment="1">
      <alignment horizontal="center" vertical="center" wrapText="1"/>
    </xf>
    <xf numFmtId="0" fontId="38" fillId="0" borderId="38" xfId="240" applyFont="1" applyBorder="1" applyAlignment="1">
      <alignment horizontal="center" vertical="center" wrapText="1"/>
    </xf>
    <xf numFmtId="0" fontId="38" fillId="0" borderId="24" xfId="240" applyFont="1" applyBorder="1" applyAlignment="1">
      <alignment horizontal="center" vertical="center" wrapText="1"/>
    </xf>
    <xf numFmtId="0" fontId="107" fillId="38" borderId="54" xfId="222" applyFont="1" applyFill="1" applyBorder="1" applyAlignment="1" applyProtection="1">
      <alignment horizontal="center" vertical="center" wrapText="1"/>
      <protection locked="0"/>
    </xf>
    <xf numFmtId="0" fontId="38" fillId="0" borderId="29" xfId="240" applyFont="1" applyBorder="1" applyAlignment="1">
      <alignment horizontal="center" vertical="center" wrapText="1"/>
    </xf>
    <xf numFmtId="0" fontId="38" fillId="0" borderId="13" xfId="240" applyFont="1" applyBorder="1" applyAlignment="1">
      <alignment horizontal="center" vertical="center" wrapText="1"/>
    </xf>
    <xf numFmtId="0" fontId="38" fillId="0" borderId="11" xfId="240" applyFont="1" applyBorder="1" applyAlignment="1">
      <alignment horizontal="center" vertical="center" wrapText="1"/>
    </xf>
    <xf numFmtId="0" fontId="107" fillId="38" borderId="29" xfId="222" applyFont="1" applyFill="1" applyBorder="1" applyAlignment="1" applyProtection="1">
      <alignment horizontal="center" vertical="center"/>
      <protection locked="0"/>
    </xf>
    <xf numFmtId="0" fontId="38" fillId="38" borderId="29" xfId="240" applyFon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vertical="center" wrapText="1"/>
    </xf>
    <xf numFmtId="0" fontId="38" fillId="38" borderId="55" xfId="240" applyFont="1" applyFill="1" applyBorder="1" applyAlignment="1" applyProtection="1">
      <alignment horizontal="center" vertical="center"/>
      <protection locked="0"/>
    </xf>
    <xf numFmtId="0" fontId="107" fillId="38" borderId="22" xfId="222" applyFont="1" applyFill="1" applyBorder="1" applyAlignment="1" applyProtection="1">
      <alignment horizontal="center" vertical="center"/>
      <protection locked="0"/>
    </xf>
    <xf numFmtId="0" fontId="38" fillId="38" borderId="15" xfId="240" applyFont="1" applyFill="1" applyBorder="1" applyAlignment="1" applyProtection="1">
      <alignment horizontal="center" vertical="center"/>
      <protection locked="0"/>
    </xf>
    <xf numFmtId="0" fontId="107" fillId="34" borderId="28" xfId="223" applyFont="1" applyFill="1" applyBorder="1" applyAlignment="1" applyProtection="1">
      <alignment horizontal="center" vertical="center" wrapText="1"/>
      <protection locked="0"/>
    </xf>
    <xf numFmtId="0" fontId="107" fillId="34" borderId="72" xfId="223" applyFont="1" applyFill="1" applyBorder="1" applyAlignment="1" applyProtection="1">
      <alignment horizontal="center" vertical="center" wrapText="1"/>
      <protection locked="0"/>
    </xf>
    <xf numFmtId="0" fontId="4" fillId="0" borderId="72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4" fillId="41" borderId="72" xfId="0" applyFont="1" applyFill="1" applyBorder="1" applyAlignment="1">
      <alignment horizontal="center" vertical="center" wrapText="1"/>
    </xf>
    <xf numFmtId="0" fontId="4" fillId="41" borderId="23" xfId="0" applyFont="1" applyFill="1" applyBorder="1" applyAlignment="1">
      <alignment horizontal="center" vertical="center" wrapText="1"/>
    </xf>
    <xf numFmtId="0" fontId="107" fillId="51" borderId="58" xfId="223" applyFont="1" applyFill="1" applyBorder="1" applyAlignment="1" applyProtection="1">
      <alignment horizontal="left" vertical="center" wrapText="1"/>
      <protection locked="0"/>
    </xf>
    <xf numFmtId="0" fontId="4" fillId="51" borderId="31" xfId="223" applyFont="1" applyFill="1" applyBorder="1" applyAlignment="1" applyProtection="1">
      <alignment horizontal="left" vertical="center" wrapText="1"/>
      <protection locked="0"/>
    </xf>
    <xf numFmtId="0" fontId="4" fillId="41" borderId="21" xfId="223" applyFont="1" applyFill="1" applyBorder="1" applyAlignment="1" applyProtection="1">
      <alignment horizontal="left"/>
      <protection locked="0"/>
    </xf>
    <xf numFmtId="0" fontId="107" fillId="51" borderId="14" xfId="223" applyFont="1" applyFill="1" applyBorder="1" applyAlignment="1" applyProtection="1">
      <alignment horizontal="left" vertical="center" wrapText="1"/>
      <protection locked="0"/>
    </xf>
    <xf numFmtId="0" fontId="4" fillId="51" borderId="15" xfId="223" applyFont="1" applyFill="1" applyBorder="1" applyAlignment="1" applyProtection="1">
      <alignment horizontal="left" vertical="center" wrapText="1"/>
      <protection locked="0"/>
    </xf>
    <xf numFmtId="3" fontId="107" fillId="42" borderId="28" xfId="223" applyNumberFormat="1" applyFont="1" applyFill="1" applyBorder="1" applyAlignment="1" applyProtection="1">
      <alignment horizontal="center" wrapText="1"/>
      <protection locked="0"/>
    </xf>
    <xf numFmtId="0" fontId="4" fillId="42" borderId="72" xfId="0" applyFont="1" applyFill="1" applyBorder="1" applyAlignment="1">
      <alignment horizontal="center" wrapText="1"/>
    </xf>
    <xf numFmtId="0" fontId="4" fillId="42" borderId="23" xfId="0" applyFont="1" applyFill="1" applyBorder="1" applyAlignment="1">
      <alignment horizontal="center" wrapText="1"/>
    </xf>
    <xf numFmtId="0" fontId="4" fillId="41" borderId="12" xfId="223" applyFont="1" applyFill="1" applyBorder="1" applyAlignment="1" applyProtection="1">
      <alignment horizontal="left"/>
      <protection locked="0"/>
    </xf>
    <xf numFmtId="0" fontId="107" fillId="51" borderId="11" xfId="223" applyFont="1" applyFill="1" applyBorder="1" applyAlignment="1">
      <alignment horizontal="left" vertical="center"/>
    </xf>
    <xf numFmtId="0" fontId="4" fillId="51" borderId="11" xfId="223" applyFont="1" applyFill="1" applyBorder="1" applyAlignment="1">
      <alignment horizontal="left" vertical="center"/>
    </xf>
    <xf numFmtId="0" fontId="107" fillId="0" borderId="0" xfId="223" applyFont="1" applyAlignment="1">
      <alignment horizontal="center" wrapText="1"/>
    </xf>
    <xf numFmtId="0" fontId="38" fillId="0" borderId="0" xfId="0" applyFont="1" applyAlignment="1">
      <alignment horizontal="center" wrapText="1"/>
    </xf>
    <xf numFmtId="0" fontId="72" fillId="0" borderId="38" xfId="223" applyFont="1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92" fillId="0" borderId="17" xfId="216" applyFont="1" applyBorder="1" applyAlignment="1">
      <alignment horizontal="center" vertical="center" wrapText="1"/>
    </xf>
    <xf numFmtId="0" fontId="91" fillId="45" borderId="92" xfId="216" applyFont="1" applyFill="1" applyBorder="1" applyAlignment="1">
      <alignment horizontal="center" vertical="center" wrapText="1"/>
    </xf>
    <xf numFmtId="0" fontId="91" fillId="45" borderId="54" xfId="216" applyFont="1" applyFill="1" applyBorder="1" applyAlignment="1">
      <alignment horizontal="center" vertical="center" wrapText="1"/>
    </xf>
    <xf numFmtId="0" fontId="91" fillId="45" borderId="73" xfId="216" applyFont="1" applyFill="1" applyBorder="1" applyAlignment="1">
      <alignment horizontal="center" vertical="center" wrapText="1"/>
    </xf>
    <xf numFmtId="0" fontId="101" fillId="0" borderId="14" xfId="216" applyFont="1" applyBorder="1" applyAlignment="1">
      <alignment horizontal="center" vertical="center" wrapText="1"/>
    </xf>
    <xf numFmtId="0" fontId="91" fillId="45" borderId="70" xfId="216" applyFont="1" applyFill="1" applyBorder="1" applyAlignment="1">
      <alignment horizontal="center" vertical="center" wrapText="1"/>
    </xf>
    <xf numFmtId="0" fontId="91" fillId="45" borderId="29" xfId="216" applyFont="1" applyFill="1" applyBorder="1" applyAlignment="1">
      <alignment horizontal="center" vertical="center" wrapText="1"/>
    </xf>
    <xf numFmtId="0" fontId="91" fillId="45" borderId="55" xfId="216" applyFont="1" applyFill="1" applyBorder="1" applyAlignment="1">
      <alignment horizontal="center" vertical="center" wrapText="1"/>
    </xf>
    <xf numFmtId="0" fontId="89" fillId="0" borderId="30" xfId="216" applyFont="1" applyBorder="1" applyAlignment="1">
      <alignment horizontal="center" vertical="center" wrapText="1"/>
    </xf>
    <xf numFmtId="0" fontId="89" fillId="0" borderId="48" xfId="216" applyFont="1" applyBorder="1" applyAlignment="1">
      <alignment horizontal="center" vertical="center" wrapText="1"/>
    </xf>
    <xf numFmtId="0" fontId="102" fillId="45" borderId="29" xfId="210" applyFont="1" applyFill="1" applyBorder="1" applyAlignment="1">
      <alignment horizontal="left" vertical="center" wrapText="1"/>
    </xf>
    <xf numFmtId="0" fontId="102" fillId="45" borderId="55" xfId="210" applyFont="1" applyFill="1" applyBorder="1" applyAlignment="1">
      <alignment horizontal="left" vertical="center" wrapText="1"/>
    </xf>
    <xf numFmtId="0" fontId="3" fillId="0" borderId="28" xfId="210" applyFont="1" applyBorder="1" applyAlignment="1">
      <alignment horizontal="center" vertical="center" wrapText="1"/>
    </xf>
    <xf numFmtId="0" fontId="3" fillId="0" borderId="72" xfId="210" applyFont="1" applyBorder="1" applyAlignment="1">
      <alignment horizontal="center" vertical="center" wrapText="1"/>
    </xf>
    <xf numFmtId="0" fontId="3" fillId="0" borderId="23" xfId="210" applyFont="1" applyBorder="1" applyAlignment="1">
      <alignment horizontal="center" vertical="center" wrapText="1"/>
    </xf>
    <xf numFmtId="0" fontId="103" fillId="45" borderId="29" xfId="210" applyFont="1" applyFill="1" applyBorder="1" applyAlignment="1">
      <alignment horizontal="left" vertical="center" wrapText="1"/>
    </xf>
    <xf numFmtId="0" fontId="103" fillId="45" borderId="55" xfId="210" applyFont="1" applyFill="1" applyBorder="1" applyAlignment="1">
      <alignment horizontal="left" vertical="center" wrapText="1"/>
    </xf>
    <xf numFmtId="0" fontId="99" fillId="45" borderId="15" xfId="210" applyFont="1" applyFill="1" applyBorder="1" applyAlignment="1">
      <alignment horizontal="center" vertical="center" wrapText="1"/>
    </xf>
    <xf numFmtId="0" fontId="99" fillId="45" borderId="11" xfId="210" applyFont="1" applyFill="1" applyBorder="1" applyAlignment="1">
      <alignment horizontal="center" vertical="center" wrapText="1"/>
    </xf>
    <xf numFmtId="0" fontId="99" fillId="45" borderId="56" xfId="210" applyFont="1" applyFill="1" applyBorder="1" applyAlignment="1">
      <alignment horizontal="center" vertical="center" wrapText="1"/>
    </xf>
    <xf numFmtId="0" fontId="99" fillId="45" borderId="47" xfId="210" applyFont="1" applyFill="1" applyBorder="1" applyAlignment="1">
      <alignment horizontal="center" vertical="center" wrapText="1"/>
    </xf>
    <xf numFmtId="0" fontId="90" fillId="45" borderId="11" xfId="210" applyFont="1" applyFill="1" applyBorder="1" applyAlignment="1">
      <alignment horizontal="center" vertical="center" wrapText="1"/>
    </xf>
    <xf numFmtId="0" fontId="90" fillId="45" borderId="47" xfId="210" applyFont="1" applyFill="1" applyBorder="1" applyAlignment="1">
      <alignment horizontal="center" vertical="center" wrapText="1"/>
    </xf>
    <xf numFmtId="10" fontId="90" fillId="45" borderId="11" xfId="210" applyNumberFormat="1" applyFont="1" applyFill="1" applyBorder="1" applyAlignment="1">
      <alignment horizontal="center" vertical="center" wrapText="1"/>
    </xf>
    <xf numFmtId="0" fontId="102" fillId="45" borderId="71" xfId="210" applyFont="1" applyFill="1" applyBorder="1" applyAlignment="1">
      <alignment horizontal="left" vertical="center" wrapText="1"/>
    </xf>
    <xf numFmtId="0" fontId="102" fillId="45" borderId="73" xfId="210" applyFont="1" applyFill="1" applyBorder="1" applyAlignment="1">
      <alignment horizontal="left" vertical="center" wrapText="1"/>
    </xf>
    <xf numFmtId="0" fontId="102" fillId="45" borderId="79" xfId="210" applyFont="1" applyFill="1" applyBorder="1" applyAlignment="1">
      <alignment horizontal="left" vertical="center" wrapText="1"/>
    </xf>
    <xf numFmtId="0" fontId="89" fillId="0" borderId="11" xfId="210" applyFont="1" applyBorder="1" applyAlignment="1">
      <alignment horizontal="center" vertical="center" wrapText="1"/>
    </xf>
    <xf numFmtId="0" fontId="89" fillId="0" borderId="30" xfId="210" applyFont="1" applyBorder="1" applyAlignment="1">
      <alignment horizontal="center" vertical="center" wrapText="1"/>
    </xf>
    <xf numFmtId="0" fontId="90" fillId="45" borderId="51" xfId="210" applyFont="1" applyFill="1" applyBorder="1" applyAlignment="1">
      <alignment horizontal="center" vertical="center" wrapText="1"/>
    </xf>
    <xf numFmtId="0" fontId="90" fillId="45" borderId="56" xfId="210" applyFont="1" applyFill="1" applyBorder="1" applyAlignment="1">
      <alignment horizontal="center" vertical="center" wrapText="1"/>
    </xf>
    <xf numFmtId="49" fontId="77" fillId="34" borderId="80" xfId="0" applyNumberFormat="1" applyFont="1" applyFill="1" applyBorder="1" applyAlignment="1">
      <alignment horizontal="left" vertical="center" wrapText="1"/>
    </xf>
    <xf numFmtId="49" fontId="77" fillId="47" borderId="83" xfId="0" applyNumberFormat="1" applyFont="1" applyFill="1" applyBorder="1" applyAlignment="1">
      <alignment horizontal="center" wrapText="1"/>
    </xf>
    <xf numFmtId="49" fontId="77" fillId="31" borderId="86" xfId="0" applyNumberFormat="1" applyFont="1" applyFill="1" applyBorder="1" applyAlignment="1">
      <alignment horizontal="center" vertical="center" wrapText="1"/>
    </xf>
    <xf numFmtId="49" fontId="77" fillId="34" borderId="90" xfId="0" applyNumberFormat="1" applyFont="1" applyFill="1" applyBorder="1" applyAlignment="1">
      <alignment horizontal="center" vertical="center" wrapText="1"/>
    </xf>
    <xf numFmtId="0" fontId="4" fillId="28" borderId="11" xfId="0" applyFont="1" applyFill="1" applyBorder="1" applyAlignment="1">
      <alignment horizontal="center" vertical="center" wrapText="1"/>
    </xf>
    <xf numFmtId="0" fontId="46" fillId="31" borderId="0" xfId="0" applyFont="1" applyFill="1" applyAlignment="1">
      <alignment horizontal="left"/>
    </xf>
    <xf numFmtId="0" fontId="43" fillId="31" borderId="0" xfId="0" applyFont="1" applyFill="1" applyAlignment="1">
      <alignment horizontal="left"/>
    </xf>
    <xf numFmtId="0" fontId="4" fillId="28" borderId="14" xfId="0" applyFont="1" applyFill="1" applyBorder="1" applyAlignment="1">
      <alignment horizontal="center" vertical="center" wrapText="1"/>
    </xf>
    <xf numFmtId="0" fontId="4" fillId="28" borderId="15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60" fillId="34" borderId="11" xfId="243" applyFont="1" applyFill="1" applyBorder="1" applyAlignment="1" applyProtection="1">
      <alignment horizontal="center" vertical="center" wrapText="1"/>
      <protection hidden="1"/>
    </xf>
    <xf numFmtId="0" fontId="60" fillId="28" borderId="11" xfId="243" applyFont="1" applyFill="1" applyBorder="1" applyAlignment="1" applyProtection="1">
      <alignment horizontal="center" vertical="center" wrapText="1"/>
      <protection hidden="1"/>
    </xf>
    <xf numFmtId="0" fontId="0" fillId="34" borderId="11" xfId="0" applyFill="1" applyBorder="1" applyAlignment="1">
      <alignment horizontal="center" vertical="center" wrapText="1"/>
    </xf>
    <xf numFmtId="0" fontId="0" fillId="28" borderId="11" xfId="0" applyFill="1" applyBorder="1" applyAlignment="1">
      <alignment horizontal="center" vertical="center" wrapText="1"/>
    </xf>
    <xf numFmtId="0" fontId="0" fillId="32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3" fillId="31" borderId="0" xfId="0" applyFont="1" applyFill="1" applyAlignment="1">
      <alignment horizontal="center"/>
    </xf>
    <xf numFmtId="3" fontId="0" fillId="0" borderId="14" xfId="0" applyNumberForma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2" xfId="0" applyBorder="1" applyAlignment="1">
      <alignment horizontal="justify" vertical="center" wrapText="1"/>
    </xf>
    <xf numFmtId="0" fontId="0" fillId="0" borderId="19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20" xfId="0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0" fontId="0" fillId="0" borderId="22" xfId="0" applyBorder="1" applyAlignment="1">
      <alignment horizontal="justify" vertical="center" wrapText="1"/>
    </xf>
    <xf numFmtId="0" fontId="0" fillId="31" borderId="32" xfId="0" applyFill="1" applyBorder="1" applyAlignment="1">
      <alignment horizontal="left" vertical="center" wrapText="1"/>
    </xf>
    <xf numFmtId="0" fontId="0" fillId="31" borderId="19" xfId="0" applyFill="1" applyBorder="1" applyAlignment="1">
      <alignment horizontal="left" vertical="center" wrapText="1"/>
    </xf>
    <xf numFmtId="0" fontId="0" fillId="31" borderId="1" xfId="0" applyFill="1" applyBorder="1" applyAlignment="1">
      <alignment horizontal="left" vertical="center" wrapText="1"/>
    </xf>
    <xf numFmtId="0" fontId="0" fillId="31" borderId="20" xfId="0" applyFill="1" applyBorder="1" applyAlignment="1">
      <alignment horizontal="left" vertical="center" wrapText="1"/>
    </xf>
    <xf numFmtId="0" fontId="0" fillId="31" borderId="21" xfId="0" applyFill="1" applyBorder="1" applyAlignment="1">
      <alignment horizontal="left" vertical="center" wrapText="1"/>
    </xf>
    <xf numFmtId="0" fontId="0" fillId="31" borderId="22" xfId="0" applyFill="1" applyBorder="1" applyAlignment="1">
      <alignment horizontal="left" vertical="center" wrapText="1"/>
    </xf>
    <xf numFmtId="3" fontId="0" fillId="0" borderId="11" xfId="0" applyNumberForma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" fontId="1" fillId="0" borderId="14" xfId="258" applyNumberFormat="1" applyBorder="1" applyAlignment="1">
      <alignment horizontal="center" vertical="center" wrapText="1"/>
    </xf>
    <xf numFmtId="1" fontId="1" fillId="0" borderId="17" xfId="258" applyNumberFormat="1" applyBorder="1" applyAlignment="1">
      <alignment horizontal="center" vertical="center" wrapText="1"/>
    </xf>
    <xf numFmtId="3" fontId="0" fillId="0" borderId="17" xfId="0" applyNumberFormat="1" applyBorder="1" applyAlignment="1">
      <alignment horizontal="left" vertical="center" wrapText="1"/>
    </xf>
    <xf numFmtId="4" fontId="0" fillId="31" borderId="0" xfId="0" applyNumberFormat="1" applyFill="1" applyAlignment="1">
      <alignment vertical="center"/>
    </xf>
    <xf numFmtId="0" fontId="0" fillId="31" borderId="0" xfId="0" applyFill="1" applyAlignment="1">
      <alignment vertical="center"/>
    </xf>
    <xf numFmtId="0" fontId="0" fillId="0" borderId="14" xfId="0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3" fillId="28" borderId="14" xfId="0" applyFont="1" applyFill="1" applyBorder="1" applyAlignment="1">
      <alignment horizontal="center" vertical="center" wrapText="1"/>
    </xf>
    <xf numFmtId="0" fontId="3" fillId="28" borderId="15" xfId="0" applyFont="1" applyFill="1" applyBorder="1" applyAlignment="1">
      <alignment horizontal="center" vertical="center" wrapText="1"/>
    </xf>
    <xf numFmtId="0" fontId="3" fillId="28" borderId="17" xfId="0" applyFont="1" applyFill="1" applyBorder="1" applyAlignment="1">
      <alignment horizontal="center" vertical="center" wrapText="1"/>
    </xf>
    <xf numFmtId="0" fontId="3" fillId="28" borderId="12" xfId="0" applyFont="1" applyFill="1" applyBorder="1" applyAlignment="1">
      <alignment horizontal="center" vertical="center"/>
    </xf>
    <xf numFmtId="0" fontId="3" fillId="28" borderId="27" xfId="0" applyFont="1" applyFill="1" applyBorder="1" applyAlignment="1">
      <alignment horizontal="center" vertical="center"/>
    </xf>
    <xf numFmtId="0" fontId="3" fillId="28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34" fillId="0" borderId="12" xfId="239" applyFont="1" applyBorder="1" applyAlignment="1">
      <alignment horizontal="left"/>
    </xf>
    <xf numFmtId="0" fontId="34" fillId="0" borderId="27" xfId="239" applyFont="1" applyBorder="1" applyAlignment="1">
      <alignment horizontal="left"/>
    </xf>
    <xf numFmtId="0" fontId="34" fillId="0" borderId="13" xfId="239" applyFont="1" applyBorder="1" applyAlignment="1">
      <alignment horizontal="left"/>
    </xf>
    <xf numFmtId="0" fontId="34" fillId="0" borderId="0" xfId="239" applyFont="1" applyAlignment="1">
      <alignment horizontal="left"/>
    </xf>
    <xf numFmtId="0" fontId="34" fillId="0" borderId="11" xfId="239" applyFont="1" applyBorder="1" applyAlignment="1">
      <alignment horizontal="left"/>
    </xf>
    <xf numFmtId="0" fontId="34" fillId="0" borderId="0" xfId="241" applyFont="1" applyAlignment="1">
      <alignment horizontal="left"/>
    </xf>
    <xf numFmtId="0" fontId="34" fillId="0" borderId="11" xfId="241" applyFont="1" applyBorder="1" applyAlignment="1">
      <alignment horizontal="left"/>
    </xf>
    <xf numFmtId="0" fontId="34" fillId="0" borderId="0" xfId="239" applyFont="1" applyAlignment="1">
      <alignment horizontal="left" wrapText="1"/>
    </xf>
    <xf numFmtId="0" fontId="11" fillId="0" borderId="18" xfId="239" applyBorder="1" applyAlignment="1">
      <alignment horizontal="center"/>
    </xf>
    <xf numFmtId="0" fontId="34" fillId="0" borderId="18" xfId="239" applyFont="1" applyBorder="1" applyAlignment="1">
      <alignment horizontal="left"/>
    </xf>
    <xf numFmtId="0" fontId="4" fillId="31" borderId="21" xfId="0" applyFont="1" applyFill="1" applyBorder="1" applyAlignment="1">
      <alignment horizontal="left" vertical="center" wrapText="1"/>
    </xf>
    <xf numFmtId="0" fontId="4" fillId="31" borderId="22" xfId="0" applyFont="1" applyFill="1" applyBorder="1" applyAlignment="1">
      <alignment horizontal="left" vertical="center" wrapText="1"/>
    </xf>
    <xf numFmtId="0" fontId="6" fillId="31" borderId="12" xfId="0" applyFont="1" applyFill="1" applyBorder="1" applyAlignment="1">
      <alignment horizontal="left" vertical="center" wrapText="1"/>
    </xf>
    <xf numFmtId="0" fontId="6" fillId="31" borderId="27" xfId="0" applyFont="1" applyFill="1" applyBorder="1" applyAlignment="1">
      <alignment horizontal="left" vertical="center" wrapText="1"/>
    </xf>
    <xf numFmtId="0" fontId="6" fillId="31" borderId="13" xfId="0" applyFont="1" applyFill="1" applyBorder="1" applyAlignment="1">
      <alignment horizontal="left" vertical="center" wrapText="1"/>
    </xf>
    <xf numFmtId="0" fontId="4" fillId="48" borderId="12" xfId="0" applyFont="1" applyFill="1" applyBorder="1" applyAlignment="1">
      <alignment horizontal="left" vertical="center" wrapText="1"/>
    </xf>
    <xf numFmtId="0" fontId="4" fillId="48" borderId="13" xfId="0" applyFont="1" applyFill="1" applyBorder="1" applyAlignment="1">
      <alignment horizontal="left" vertical="center" wrapText="1"/>
    </xf>
    <xf numFmtId="0" fontId="4" fillId="31" borderId="12" xfId="0" applyFont="1" applyFill="1" applyBorder="1" applyAlignment="1">
      <alignment horizontal="left" vertical="center" wrapText="1"/>
    </xf>
    <xf numFmtId="0" fontId="4" fillId="31" borderId="13" xfId="0" applyFont="1" applyFill="1" applyBorder="1" applyAlignment="1">
      <alignment horizontal="left" vertical="center" wrapText="1"/>
    </xf>
    <xf numFmtId="0" fontId="0" fillId="31" borderId="12" xfId="0" applyFill="1" applyBorder="1" applyAlignment="1">
      <alignment horizontal="left" vertical="center" wrapText="1"/>
    </xf>
    <xf numFmtId="0" fontId="6" fillId="31" borderId="12" xfId="0" applyFont="1" applyFill="1" applyBorder="1" applyAlignment="1">
      <alignment horizontal="center" vertical="center" wrapText="1"/>
    </xf>
    <xf numFmtId="0" fontId="6" fillId="31" borderId="27" xfId="0" applyFont="1" applyFill="1" applyBorder="1" applyAlignment="1">
      <alignment horizontal="center" vertical="center" wrapText="1"/>
    </xf>
    <xf numFmtId="0" fontId="6" fillId="31" borderId="13" xfId="0" applyFont="1" applyFill="1" applyBorder="1" applyAlignment="1">
      <alignment horizontal="center" vertical="center" wrapText="1"/>
    </xf>
    <xf numFmtId="0" fontId="4" fillId="48" borderId="21" xfId="0" applyFont="1" applyFill="1" applyBorder="1" applyAlignment="1">
      <alignment horizontal="left" vertical="center" wrapText="1"/>
    </xf>
    <xf numFmtId="0" fontId="4" fillId="48" borderId="22" xfId="0" applyFont="1" applyFill="1" applyBorder="1" applyAlignment="1">
      <alignment horizontal="left" vertical="center" wrapText="1"/>
    </xf>
    <xf numFmtId="0" fontId="37" fillId="31" borderId="12" xfId="0" applyFont="1" applyFill="1" applyBorder="1" applyAlignment="1">
      <alignment horizontal="left" vertical="center" wrapText="1"/>
    </xf>
    <xf numFmtId="0" fontId="37" fillId="31" borderId="27" xfId="0" applyFont="1" applyFill="1" applyBorder="1" applyAlignment="1">
      <alignment horizontal="left" vertical="center" wrapText="1"/>
    </xf>
    <xf numFmtId="0" fontId="37" fillId="31" borderId="13" xfId="0" applyFont="1" applyFill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4" fillId="44" borderId="12" xfId="0" applyFont="1" applyFill="1" applyBorder="1" applyAlignment="1">
      <alignment horizontal="left" vertical="center" wrapText="1"/>
    </xf>
    <xf numFmtId="0" fontId="4" fillId="44" borderId="27" xfId="0" applyFont="1" applyFill="1" applyBorder="1" applyAlignment="1">
      <alignment horizontal="left" vertical="center" wrapText="1"/>
    </xf>
    <xf numFmtId="0" fontId="4" fillId="44" borderId="13" xfId="0" applyFont="1" applyFill="1" applyBorder="1" applyAlignment="1">
      <alignment horizontal="left" vertical="center" wrapText="1"/>
    </xf>
    <xf numFmtId="0" fontId="37" fillId="31" borderId="32" xfId="0" applyFont="1" applyFill="1" applyBorder="1" applyAlignment="1">
      <alignment horizontal="left" vertical="center" wrapText="1"/>
    </xf>
    <xf numFmtId="0" fontId="37" fillId="31" borderId="18" xfId="0" applyFont="1" applyFill="1" applyBorder="1" applyAlignment="1">
      <alignment horizontal="left" vertical="center" wrapText="1"/>
    </xf>
    <xf numFmtId="0" fontId="0" fillId="0" borderId="33" xfId="0" applyBorder="1" applyAlignment="1"/>
    <xf numFmtId="0" fontId="0" fillId="0" borderId="0" xfId="0" applyAlignment="1"/>
    <xf numFmtId="0" fontId="0" fillId="0" borderId="38" xfId="0" applyBorder="1" applyAlignment="1"/>
    <xf numFmtId="0" fontId="69" fillId="22" borderId="38" xfId="222" applyFont="1" applyFill="1" applyBorder="1" applyAlignment="1" applyProtection="1">
      <protection locked="0"/>
    </xf>
    <xf numFmtId="0" fontId="0" fillId="55" borderId="73" xfId="0" applyFill="1" applyBorder="1" applyAlignment="1"/>
    <xf numFmtId="0" fontId="4" fillId="0" borderId="33" xfId="0" applyFont="1" applyBorder="1" applyAlignment="1"/>
    <xf numFmtId="0" fontId="4" fillId="0" borderId="11" xfId="0" applyFont="1" applyBorder="1" applyAlignment="1"/>
    <xf numFmtId="0" fontId="4" fillId="0" borderId="38" xfId="0" applyFont="1" applyBorder="1" applyAlignment="1"/>
    <xf numFmtId="0" fontId="4" fillId="0" borderId="0" xfId="0" applyFont="1" applyAlignment="1"/>
    <xf numFmtId="0" fontId="38" fillId="22" borderId="38" xfId="222" applyFont="1" applyFill="1" applyBorder="1" applyAlignment="1" applyProtection="1">
      <protection locked="0"/>
    </xf>
    <xf numFmtId="0" fontId="4" fillId="55" borderId="73" xfId="0" applyFont="1" applyFill="1" applyBorder="1" applyAlignment="1"/>
    <xf numFmtId="0" fontId="4" fillId="41" borderId="27" xfId="0" applyFont="1" applyFill="1" applyBorder="1" applyAlignment="1" applyProtection="1">
      <protection locked="0"/>
    </xf>
    <xf numFmtId="0" fontId="4" fillId="41" borderId="13" xfId="0" applyFont="1" applyFill="1" applyBorder="1" applyAlignment="1" applyProtection="1">
      <protection locked="0"/>
    </xf>
    <xf numFmtId="0" fontId="4" fillId="0" borderId="11" xfId="210" applyFont="1" applyBorder="1" applyAlignment="1">
      <alignment vertical="center" wrapText="1"/>
    </xf>
    <xf numFmtId="3" fontId="4" fillId="49" borderId="11" xfId="210" applyNumberFormat="1" applyFont="1" applyFill="1" applyBorder="1" applyAlignment="1">
      <alignment vertical="center" wrapText="1"/>
    </xf>
    <xf numFmtId="168" fontId="4" fillId="0" borderId="11" xfId="210" applyNumberFormat="1" applyFont="1" applyBorder="1" applyAlignment="1">
      <alignment vertical="center" wrapText="1"/>
    </xf>
    <xf numFmtId="0" fontId="4" fillId="0" borderId="47" xfId="210" applyFont="1" applyBorder="1" applyAlignment="1">
      <alignment vertical="center" wrapText="1"/>
    </xf>
    <xf numFmtId="168" fontId="4" fillId="0" borderId="11" xfId="210" applyNumberFormat="1" applyFont="1" applyBorder="1" applyAlignment="1">
      <alignment horizontal="right" vertical="center" wrapText="1"/>
    </xf>
    <xf numFmtId="0" fontId="4" fillId="0" borderId="14" xfId="210" applyFont="1" applyBorder="1" applyAlignment="1">
      <alignment vertical="center" wrapText="1"/>
    </xf>
    <xf numFmtId="168" fontId="4" fillId="0" borderId="14" xfId="210" applyNumberFormat="1" applyFont="1" applyBorder="1" applyAlignment="1">
      <alignment horizontal="right" vertical="center" wrapText="1"/>
    </xf>
    <xf numFmtId="0" fontId="4" fillId="0" borderId="51" xfId="210" applyFont="1" applyBorder="1" applyAlignment="1">
      <alignment vertical="center" wrapText="1"/>
    </xf>
    <xf numFmtId="3" fontId="4" fillId="49" borderId="14" xfId="210" applyNumberFormat="1" applyFont="1" applyFill="1" applyBorder="1" applyAlignment="1">
      <alignment vertical="center" wrapText="1"/>
    </xf>
    <xf numFmtId="0" fontId="14" fillId="47" borderId="84" xfId="0" applyFont="1" applyFill="1" applyBorder="1" applyAlignment="1"/>
    <xf numFmtId="0" fontId="14" fillId="47" borderId="85" xfId="0" applyFont="1" applyFill="1" applyBorder="1" applyAlignment="1"/>
    <xf numFmtId="0" fontId="14" fillId="31" borderId="87" xfId="0" applyFont="1" applyFill="1" applyBorder="1" applyAlignment="1"/>
    <xf numFmtId="0" fontId="14" fillId="31" borderId="88" xfId="0" applyFont="1" applyFill="1" applyBorder="1" applyAlignment="1"/>
    <xf numFmtId="0" fontId="14" fillId="31" borderId="89" xfId="0" applyFont="1" applyFill="1" applyBorder="1" applyAlignment="1"/>
    <xf numFmtId="0" fontId="14" fillId="34" borderId="91" xfId="0" applyFont="1" applyFill="1" applyBorder="1" applyAlignment="1"/>
    <xf numFmtId="0" fontId="14" fillId="34" borderId="81" xfId="0" applyFont="1" applyFill="1" applyBorder="1" applyAlignment="1"/>
    <xf numFmtId="0" fontId="14" fillId="34" borderId="82" xfId="0" applyFont="1" applyFill="1" applyBorder="1" applyAlignment="1"/>
    <xf numFmtId="0" fontId="3" fillId="31" borderId="11" xfId="0" applyFont="1" applyFill="1" applyBorder="1" applyAlignment="1">
      <alignment horizontal="center" vertical="center" wrapText="1"/>
    </xf>
    <xf numFmtId="3" fontId="3" fillId="31" borderId="11" xfId="0" applyNumberFormat="1" applyFont="1" applyFill="1" applyBorder="1" applyAlignment="1">
      <alignment horizontal="center" vertical="center" wrapText="1"/>
    </xf>
    <xf numFmtId="0" fontId="3" fillId="31" borderId="0" xfId="0" applyFont="1" applyFill="1"/>
    <xf numFmtId="0" fontId="3" fillId="31" borderId="16" xfId="0" applyFont="1" applyFill="1" applyBorder="1"/>
    <xf numFmtId="4" fontId="3" fillId="31" borderId="0" xfId="0" applyNumberFormat="1" applyFont="1" applyFill="1"/>
    <xf numFmtId="0" fontId="39" fillId="31" borderId="0" xfId="0" applyFont="1" applyFill="1"/>
    <xf numFmtId="4" fontId="39" fillId="31" borderId="0" xfId="0" applyNumberFormat="1" applyFont="1" applyFill="1"/>
    <xf numFmtId="0" fontId="3" fillId="31" borderId="0" xfId="0" applyFont="1" applyFill="1" applyAlignment="1">
      <alignment horizontal="right"/>
    </xf>
    <xf numFmtId="4" fontId="3" fillId="31" borderId="0" xfId="0" applyNumberFormat="1" applyFont="1" applyFill="1" applyAlignment="1">
      <alignment horizontal="center"/>
    </xf>
    <xf numFmtId="0" fontId="3" fillId="28" borderId="11" xfId="0" applyFont="1" applyFill="1" applyBorder="1" applyAlignment="1">
      <alignment horizontal="center" vertical="center" wrapText="1"/>
    </xf>
    <xf numFmtId="0" fontId="3" fillId="28" borderId="11" xfId="0" applyFont="1" applyFill="1" applyBorder="1" applyAlignment="1">
      <alignment horizontal="center" vertical="center"/>
    </xf>
    <xf numFmtId="0" fontId="3" fillId="28" borderId="11" xfId="0" applyFont="1" applyFill="1" applyBorder="1" applyAlignment="1">
      <alignment horizontal="center" vertical="center"/>
    </xf>
    <xf numFmtId="170" fontId="3" fillId="0" borderId="11" xfId="0" applyNumberFormat="1" applyFont="1" applyBorder="1" applyAlignment="1">
      <alignment vertical="center" wrapText="1"/>
    </xf>
    <xf numFmtId="10" fontId="3" fillId="0" borderId="11" xfId="0" applyNumberFormat="1" applyFont="1" applyBorder="1" applyAlignment="1">
      <alignment horizontal="center" vertical="center" wrapText="1"/>
    </xf>
    <xf numFmtId="170" fontId="3" fillId="31" borderId="0" xfId="0" applyNumberFormat="1" applyFont="1" applyFill="1" applyAlignment="1">
      <alignment vertical="center" wrapText="1"/>
    </xf>
    <xf numFmtId="0" fontId="3" fillId="31" borderId="11" xfId="0" applyFont="1" applyFill="1" applyBorder="1" applyAlignment="1">
      <alignment horizontal="center" vertical="center" wrapText="1"/>
    </xf>
    <xf numFmtId="170" fontId="3" fillId="31" borderId="11" xfId="0" applyNumberFormat="1" applyFont="1" applyFill="1" applyBorder="1" applyAlignment="1">
      <alignment vertical="center" wrapText="1"/>
    </xf>
    <xf numFmtId="10" fontId="3" fillId="31" borderId="11" xfId="0" applyNumberFormat="1" applyFont="1" applyFill="1" applyBorder="1" applyAlignment="1">
      <alignment horizontal="center" vertical="center" wrapText="1"/>
    </xf>
    <xf numFmtId="169" fontId="3" fillId="0" borderId="11" xfId="0" applyNumberFormat="1" applyFont="1" applyBorder="1" applyAlignment="1">
      <alignment horizontal="center" vertical="center" wrapText="1"/>
    </xf>
    <xf numFmtId="169" fontId="3" fillId="31" borderId="11" xfId="0" applyNumberFormat="1" applyFont="1" applyFill="1" applyBorder="1" applyAlignment="1">
      <alignment horizontal="center" vertical="center" wrapText="1"/>
    </xf>
    <xf numFmtId="0" fontId="3" fillId="31" borderId="0" xfId="0" applyFont="1" applyFill="1" applyAlignment="1">
      <alignment horizontal="center"/>
    </xf>
    <xf numFmtId="0" fontId="3" fillId="33" borderId="11" xfId="0" applyFont="1" applyFill="1" applyBorder="1" applyAlignment="1">
      <alignment horizontal="center" vertical="center" wrapText="1"/>
    </xf>
    <xf numFmtId="0" fontId="3" fillId="33" borderId="12" xfId="0" applyFont="1" applyFill="1" applyBorder="1" applyAlignment="1">
      <alignment horizontal="center" vertical="center"/>
    </xf>
    <xf numFmtId="0" fontId="3" fillId="33" borderId="27" xfId="0" applyFont="1" applyFill="1" applyBorder="1" applyAlignment="1">
      <alignment horizontal="center" vertical="center"/>
    </xf>
    <xf numFmtId="0" fontId="3" fillId="33" borderId="13" xfId="0" applyFont="1" applyFill="1" applyBorder="1" applyAlignment="1">
      <alignment horizontal="center" vertical="center"/>
    </xf>
    <xf numFmtId="0" fontId="3" fillId="32" borderId="11" xfId="0" applyFont="1" applyFill="1" applyBorder="1" applyAlignment="1">
      <alignment horizontal="center" vertical="center" wrapText="1"/>
    </xf>
    <xf numFmtId="0" fontId="3" fillId="33" borderId="12" xfId="0" applyFont="1" applyFill="1" applyBorder="1" applyAlignment="1">
      <alignment horizontal="center" vertical="center" wrapText="1"/>
    </xf>
    <xf numFmtId="0" fontId="3" fillId="33" borderId="27" xfId="0" applyFont="1" applyFill="1" applyBorder="1" applyAlignment="1">
      <alignment horizontal="center" vertical="center" wrapText="1"/>
    </xf>
    <xf numFmtId="0" fontId="3" fillId="33" borderId="13" xfId="0" applyFont="1" applyFill="1" applyBorder="1" applyAlignment="1">
      <alignment horizontal="center" vertical="center" wrapText="1"/>
    </xf>
    <xf numFmtId="2" fontId="3" fillId="33" borderId="11" xfId="0" applyNumberFormat="1" applyFont="1" applyFill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/>
    </xf>
    <xf numFmtId="0" fontId="3" fillId="33" borderId="14" xfId="0" applyFont="1" applyFill="1" applyBorder="1" applyAlignment="1">
      <alignment horizontal="center" vertical="center"/>
    </xf>
    <xf numFmtId="0" fontId="3" fillId="31" borderId="11" xfId="0" applyFont="1" applyFill="1" applyBorder="1" applyAlignment="1">
      <alignment horizontal="justify" vertical="center" wrapText="1"/>
    </xf>
    <xf numFmtId="4" fontId="3" fillId="31" borderId="11" xfId="0" applyNumberFormat="1" applyFont="1" applyFill="1" applyBorder="1" applyAlignment="1">
      <alignment vertical="center" wrapText="1"/>
    </xf>
    <xf numFmtId="172" fontId="3" fillId="31" borderId="11" xfId="0" applyNumberFormat="1" applyFont="1" applyFill="1" applyBorder="1" applyAlignment="1">
      <alignment horizontal="center" vertical="center" wrapText="1"/>
    </xf>
    <xf numFmtId="169" fontId="3" fillId="31" borderId="11" xfId="258" applyNumberFormat="1" applyFont="1" applyFill="1" applyBorder="1" applyAlignment="1">
      <alignment horizontal="center" vertical="center" wrapText="1"/>
    </xf>
    <xf numFmtId="10" fontId="3" fillId="31" borderId="11" xfId="258" applyNumberFormat="1" applyFont="1" applyFill="1" applyBorder="1" applyAlignment="1">
      <alignment horizontal="center" vertical="center" wrapText="1"/>
    </xf>
    <xf numFmtId="0" fontId="39" fillId="31" borderId="11" xfId="0" applyFont="1" applyFill="1" applyBorder="1" applyAlignment="1">
      <alignment horizontal="center" vertical="center" wrapText="1"/>
    </xf>
    <xf numFmtId="0" fontId="39" fillId="31" borderId="11" xfId="0" applyFont="1" applyFill="1" applyBorder="1" applyAlignment="1">
      <alignment horizontal="justify" vertical="center" wrapText="1"/>
    </xf>
    <xf numFmtId="4" fontId="39" fillId="31" borderId="11" xfId="0" applyNumberFormat="1" applyFont="1" applyFill="1" applyBorder="1" applyAlignment="1">
      <alignment vertical="center" wrapText="1"/>
    </xf>
    <xf numFmtId="172" fontId="39" fillId="31" borderId="11" xfId="0" applyNumberFormat="1" applyFont="1" applyFill="1" applyBorder="1" applyAlignment="1">
      <alignment horizontal="center" vertical="center" wrapText="1"/>
    </xf>
    <xf numFmtId="169" fontId="39" fillId="31" borderId="11" xfId="258" applyNumberFormat="1" applyFont="1" applyFill="1" applyBorder="1" applyAlignment="1">
      <alignment horizontal="center" vertical="center" wrapText="1"/>
    </xf>
    <xf numFmtId="0" fontId="39" fillId="31" borderId="11" xfId="0" applyFont="1" applyFill="1" applyBorder="1" applyAlignment="1">
      <alignment vertical="center" wrapText="1"/>
    </xf>
    <xf numFmtId="0" fontId="39" fillId="31" borderId="11" xfId="0" applyFont="1" applyFill="1" applyBorder="1" applyAlignment="1">
      <alignment horizontal="right" vertical="center" wrapText="1"/>
    </xf>
    <xf numFmtId="0" fontId="3" fillId="31" borderId="11" xfId="0" applyFont="1" applyFill="1" applyBorder="1" applyAlignment="1">
      <alignment vertical="center" wrapText="1"/>
    </xf>
    <xf numFmtId="0" fontId="39" fillId="31" borderId="11" xfId="0" applyFont="1" applyFill="1" applyBorder="1" applyAlignment="1">
      <alignment horizontal="left" vertical="center" wrapText="1"/>
    </xf>
    <xf numFmtId="0" fontId="3" fillId="31" borderId="0" xfId="0" applyFont="1" applyFill="1" applyAlignment="1">
      <alignment horizontal="center" vertical="center" wrapText="1"/>
    </xf>
    <xf numFmtId="0" fontId="3" fillId="31" borderId="0" xfId="0" applyFont="1" applyFill="1" applyAlignment="1">
      <alignment horizontal="justify" vertical="center" wrapText="1"/>
    </xf>
    <xf numFmtId="4" fontId="3" fillId="31" borderId="0" xfId="0" applyNumberFormat="1" applyFont="1" applyFill="1" applyAlignment="1">
      <alignment vertical="center" wrapText="1"/>
    </xf>
    <xf numFmtId="172" fontId="3" fillId="31" borderId="0" xfId="0" applyNumberFormat="1" applyFont="1" applyFill="1" applyAlignment="1">
      <alignment horizontal="center" vertical="center" wrapText="1"/>
    </xf>
    <xf numFmtId="10" fontId="3" fillId="0" borderId="11" xfId="258" applyNumberFormat="1" applyFont="1" applyBorder="1" applyAlignment="1">
      <alignment vertical="center" wrapText="1"/>
    </xf>
    <xf numFmtId="10" fontId="3" fillId="0" borderId="11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vertical="center" wrapText="1"/>
    </xf>
    <xf numFmtId="4" fontId="3" fillId="31" borderId="11" xfId="0" applyNumberFormat="1" applyFont="1" applyFill="1" applyBorder="1" applyAlignment="1">
      <alignment horizontal="center" vertical="center" wrapText="1"/>
    </xf>
    <xf numFmtId="0" fontId="3" fillId="31" borderId="1" xfId="0" applyFont="1" applyFill="1" applyBorder="1" applyAlignment="1">
      <alignment horizontal="center" vertical="center" wrapText="1"/>
    </xf>
    <xf numFmtId="0" fontId="3" fillId="31" borderId="0" xfId="0" applyFont="1" applyFill="1" applyAlignment="1">
      <alignment horizontal="center" vertical="center" wrapText="1"/>
    </xf>
    <xf numFmtId="3" fontId="3" fillId="31" borderId="0" xfId="0" applyNumberFormat="1" applyFont="1" applyFill="1" applyAlignment="1">
      <alignment vertical="center" wrapText="1"/>
    </xf>
    <xf numFmtId="3" fontId="3" fillId="31" borderId="11" xfId="0" applyNumberFormat="1" applyFont="1" applyFill="1" applyBorder="1" applyAlignment="1">
      <alignment vertical="center" wrapText="1"/>
    </xf>
    <xf numFmtId="0" fontId="3" fillId="31" borderId="11" xfId="0" applyFont="1" applyFill="1" applyBorder="1" applyAlignment="1">
      <alignment horizontal="center" vertical="center"/>
    </xf>
    <xf numFmtId="0" fontId="3" fillId="28" borderId="19" xfId="0" applyFont="1" applyFill="1" applyBorder="1" applyAlignment="1">
      <alignment horizontal="center" vertical="center" wrapText="1"/>
    </xf>
    <xf numFmtId="0" fontId="3" fillId="28" borderId="11" xfId="0" applyFont="1" applyFill="1" applyBorder="1" applyAlignment="1">
      <alignment horizontal="center"/>
    </xf>
    <xf numFmtId="0" fontId="3" fillId="28" borderId="22" xfId="0" applyFont="1" applyFill="1" applyBorder="1" applyAlignment="1">
      <alignment horizontal="center" vertical="center" wrapText="1"/>
    </xf>
    <xf numFmtId="0" fontId="3" fillId="28" borderId="11" xfId="0" applyFont="1" applyFill="1" applyBorder="1" applyAlignment="1">
      <alignment horizontal="center" vertical="center" wrapText="1"/>
    </xf>
    <xf numFmtId="0" fontId="3" fillId="0" borderId="0" xfId="0" applyFont="1"/>
    <xf numFmtId="0" fontId="3" fillId="36" borderId="11" xfId="0" applyFont="1" applyFill="1" applyBorder="1" applyAlignment="1">
      <alignment horizontal="center" vertical="center" wrapText="1"/>
    </xf>
    <xf numFmtId="0" fontId="3" fillId="36" borderId="14" xfId="0" applyFont="1" applyFill="1" applyBorder="1" applyAlignment="1">
      <alignment horizontal="center" vertical="center" wrapText="1"/>
    </xf>
    <xf numFmtId="0" fontId="3" fillId="36" borderId="11" xfId="0" applyFont="1" applyFill="1" applyBorder="1" applyAlignment="1">
      <alignment horizontal="center"/>
    </xf>
    <xf numFmtId="0" fontId="3" fillId="36" borderId="15" xfId="0" applyFont="1" applyFill="1" applyBorder="1" applyAlignment="1">
      <alignment horizontal="center" vertical="center" wrapText="1"/>
    </xf>
    <xf numFmtId="0" fontId="3" fillId="36" borderId="11" xfId="0" applyFont="1" applyFill="1" applyBorder="1" applyAlignment="1">
      <alignment horizontal="center" vertical="center" wrapText="1"/>
    </xf>
    <xf numFmtId="0" fontId="3" fillId="34" borderId="11" xfId="0" applyFont="1" applyFill="1" applyBorder="1" applyAlignment="1">
      <alignment horizontal="center" vertical="center" wrapText="1"/>
    </xf>
    <xf numFmtId="0" fontId="3" fillId="34" borderId="14" xfId="0" applyFont="1" applyFill="1" applyBorder="1" applyAlignment="1">
      <alignment horizontal="center" vertical="center" wrapText="1"/>
    </xf>
    <xf numFmtId="0" fontId="3" fillId="34" borderId="11" xfId="0" applyFont="1" applyFill="1" applyBorder="1" applyAlignment="1">
      <alignment horizontal="center"/>
    </xf>
    <xf numFmtId="0" fontId="3" fillId="34" borderId="15" xfId="0" applyFont="1" applyFill="1" applyBorder="1" applyAlignment="1">
      <alignment horizontal="center" vertical="center" wrapText="1"/>
    </xf>
    <xf numFmtId="0" fontId="3" fillId="34" borderId="11" xfId="0" applyFont="1" applyFill="1" applyBorder="1" applyAlignment="1">
      <alignment horizontal="center" vertical="center" wrapText="1"/>
    </xf>
    <xf numFmtId="175" fontId="3" fillId="0" borderId="0" xfId="258" applyNumberFormat="1" applyFont="1"/>
    <xf numFmtId="4" fontId="3" fillId="0" borderId="0" xfId="0" applyNumberFormat="1" applyFont="1"/>
    <xf numFmtId="4" fontId="60" fillId="0" borderId="0" xfId="243" applyNumberFormat="1" applyFont="1" applyAlignment="1">
      <alignment horizontal="left"/>
    </xf>
    <xf numFmtId="10" fontId="3" fillId="0" borderId="0" xfId="258" applyNumberFormat="1" applyFont="1"/>
    <xf numFmtId="0" fontId="60" fillId="34" borderId="11" xfId="243" applyFont="1" applyFill="1" applyBorder="1" applyAlignment="1">
      <alignment horizontal="center" vertical="center" wrapText="1"/>
    </xf>
    <xf numFmtId="0" fontId="60" fillId="32" borderId="11" xfId="243" applyFont="1" applyFill="1" applyBorder="1" applyAlignment="1">
      <alignment horizontal="center" vertical="center" wrapText="1"/>
    </xf>
    <xf numFmtId="0" fontId="60" fillId="28" borderId="11" xfId="243" applyFont="1" applyFill="1" applyBorder="1" applyAlignment="1">
      <alignment horizontal="center" vertical="center" wrapText="1"/>
    </xf>
    <xf numFmtId="0" fontId="60" fillId="34" borderId="11" xfId="243" applyFont="1" applyFill="1" applyBorder="1" applyAlignment="1">
      <alignment horizontal="center" vertical="center" wrapText="1"/>
    </xf>
    <xf numFmtId="0" fontId="60" fillId="32" borderId="11" xfId="243" applyFont="1" applyFill="1" applyBorder="1" applyAlignment="1">
      <alignment horizontal="center" vertical="center" wrapText="1"/>
    </xf>
    <xf numFmtId="0" fontId="49" fillId="34" borderId="27" xfId="243" applyFont="1" applyFill="1" applyBorder="1" applyAlignment="1">
      <alignment horizontal="centerContinuous" vertical="center"/>
    </xf>
    <xf numFmtId="0" fontId="3" fillId="34" borderId="17" xfId="0" applyFont="1" applyFill="1" applyBorder="1" applyAlignment="1">
      <alignment horizontal="center" vertical="center" wrapText="1"/>
    </xf>
    <xf numFmtId="0" fontId="49" fillId="34" borderId="16" xfId="243" applyFont="1" applyFill="1" applyBorder="1" applyAlignment="1">
      <alignment horizontal="centerContinuous" vertical="center"/>
    </xf>
    <xf numFmtId="0" fontId="49" fillId="34" borderId="11" xfId="243" applyFont="1" applyFill="1" applyBorder="1" applyAlignment="1">
      <alignment horizontal="centerContinuous" vertical="center"/>
    </xf>
    <xf numFmtId="0" fontId="3" fillId="33" borderId="14" xfId="0" applyFont="1" applyFill="1" applyBorder="1" applyAlignment="1">
      <alignment horizontal="center" vertical="center" wrapText="1"/>
    </xf>
    <xf numFmtId="0" fontId="3" fillId="31" borderId="12" xfId="0" applyFont="1" applyFill="1" applyBorder="1" applyAlignment="1">
      <alignment horizontal="justify" vertical="center" wrapText="1"/>
    </xf>
    <xf numFmtId="1" fontId="3" fillId="28" borderId="12" xfId="0" applyNumberFormat="1" applyFont="1" applyFill="1" applyBorder="1" applyAlignment="1">
      <alignment horizontal="center" vertical="center" wrapText="1"/>
    </xf>
    <xf numFmtId="1" fontId="3" fillId="28" borderId="27" xfId="0" applyNumberFormat="1" applyFont="1" applyFill="1" applyBorder="1" applyAlignment="1">
      <alignment horizontal="center" vertical="center" wrapText="1"/>
    </xf>
    <xf numFmtId="0" fontId="39" fillId="31" borderId="12" xfId="0" applyFont="1" applyFill="1" applyBorder="1" applyAlignment="1">
      <alignment horizontal="justify" vertical="center" wrapText="1"/>
    </xf>
    <xf numFmtId="1" fontId="39" fillId="28" borderId="12" xfId="0" applyNumberFormat="1" applyFont="1" applyFill="1" applyBorder="1" applyAlignment="1">
      <alignment horizontal="center" vertical="center" wrapText="1"/>
    </xf>
    <xf numFmtId="1" fontId="39" fillId="28" borderId="27" xfId="0" applyNumberFormat="1" applyFont="1" applyFill="1" applyBorder="1" applyAlignment="1">
      <alignment horizontal="center" vertical="center" wrapText="1"/>
    </xf>
    <xf numFmtId="1" fontId="3" fillId="31" borderId="11" xfId="0" applyNumberFormat="1" applyFont="1" applyFill="1" applyBorder="1" applyAlignment="1">
      <alignment horizontal="center" vertical="center" wrapText="1"/>
    </xf>
    <xf numFmtId="0" fontId="3" fillId="28" borderId="15" xfId="0" applyFont="1" applyFill="1" applyBorder="1" applyAlignment="1">
      <alignment horizontal="center" vertical="center"/>
    </xf>
    <xf numFmtId="0" fontId="3" fillId="31" borderId="12" xfId="0" applyFont="1" applyFill="1" applyBorder="1" applyAlignment="1">
      <alignment horizontal="left" vertical="center" wrapText="1"/>
    </xf>
    <xf numFmtId="0" fontId="3" fillId="31" borderId="13" xfId="0" applyFont="1" applyFill="1" applyBorder="1" applyAlignment="1">
      <alignment horizontal="left" vertical="center" wrapText="1"/>
    </xf>
    <xf numFmtId="0" fontId="3" fillId="31" borderId="32" xfId="0" applyFont="1" applyFill="1" applyBorder="1" applyAlignment="1">
      <alignment horizontal="left" vertical="center"/>
    </xf>
    <xf numFmtId="0" fontId="3" fillId="31" borderId="19" xfId="0" applyFont="1" applyFill="1" applyBorder="1" applyAlignment="1">
      <alignment horizontal="left" vertical="center"/>
    </xf>
    <xf numFmtId="0" fontId="3" fillId="31" borderId="1" xfId="0" applyFont="1" applyFill="1" applyBorder="1" applyAlignment="1">
      <alignment horizontal="left" vertical="center"/>
    </xf>
    <xf numFmtId="0" fontId="3" fillId="31" borderId="20" xfId="0" applyFont="1" applyFill="1" applyBorder="1" applyAlignment="1">
      <alignment horizontal="left" vertical="center"/>
    </xf>
    <xf numFmtId="0" fontId="3" fillId="28" borderId="13" xfId="0" applyFont="1" applyFill="1" applyBorder="1" applyAlignment="1">
      <alignment horizontal="center" vertical="center" wrapText="1"/>
    </xf>
    <xf numFmtId="0" fontId="3" fillId="31" borderId="21" xfId="0" applyFont="1" applyFill="1" applyBorder="1" applyAlignment="1">
      <alignment horizontal="left" vertical="center"/>
    </xf>
    <xf numFmtId="0" fontId="3" fillId="31" borderId="22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1" borderId="16" xfId="0" applyFont="1" applyFill="1" applyBorder="1" applyAlignment="1">
      <alignment vertical="center" wrapText="1"/>
    </xf>
    <xf numFmtId="4" fontId="3" fillId="31" borderId="16" xfId="0" applyNumberFormat="1" applyFont="1" applyFill="1" applyBorder="1" applyAlignment="1">
      <alignment vertical="center"/>
    </xf>
    <xf numFmtId="0" fontId="3" fillId="31" borderId="16" xfId="0" applyFont="1" applyFill="1" applyBorder="1" applyAlignment="1">
      <alignment vertical="center"/>
    </xf>
    <xf numFmtId="0" fontId="3" fillId="31" borderId="16" xfId="0" applyFont="1" applyFill="1" applyBorder="1" applyAlignment="1">
      <alignment horizontal="center" vertical="center"/>
    </xf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26" xfId="0" applyFont="1" applyBorder="1" applyAlignment="1">
      <alignment horizontal="justify" vertical="top" wrapText="1"/>
    </xf>
    <xf numFmtId="0" fontId="3" fillId="31" borderId="11" xfId="0" applyFont="1" applyFill="1" applyBorder="1" applyAlignment="1">
      <alignment vertical="center"/>
    </xf>
    <xf numFmtId="0" fontId="3" fillId="33" borderId="14" xfId="0" applyFont="1" applyFill="1" applyBorder="1" applyAlignment="1">
      <alignment horizontal="center" vertical="center" wrapText="1"/>
    </xf>
    <xf numFmtId="0" fontId="3" fillId="31" borderId="15" xfId="0" applyFont="1" applyFill="1" applyBorder="1"/>
    <xf numFmtId="0" fontId="3" fillId="31" borderId="17" xfId="0" applyFont="1" applyFill="1" applyBorder="1"/>
    <xf numFmtId="0" fontId="3" fillId="31" borderId="0" xfId="0" applyFont="1" applyFill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31" borderId="0" xfId="0" applyFont="1" applyFill="1" applyAlignment="1">
      <alignment vertical="center" wrapText="1"/>
    </xf>
    <xf numFmtId="0" fontId="3" fillId="0" borderId="18" xfId="0" applyFont="1" applyBorder="1" applyAlignment="1">
      <alignment horizontal="left" vertical="center" wrapText="1"/>
    </xf>
  </cellXfs>
  <cellStyles count="294">
    <cellStyle name="*MB Hardwired" xfId="1" xr:uid="{00000000-0005-0000-0000-000000000000}"/>
    <cellStyle name="*MB Input Table Calc" xfId="2" xr:uid="{00000000-0005-0000-0000-000001000000}"/>
    <cellStyle name="*MB Normal" xfId="3" xr:uid="{00000000-0005-0000-0000-000002000000}"/>
    <cellStyle name="*MB Placeholder" xfId="4" xr:uid="{00000000-0005-0000-0000-000003000000}"/>
    <cellStyle name="???" xfId="5" xr:uid="{00000000-0005-0000-0000-000004000000}"/>
    <cellStyle name="20% - Accent1" xfId="6" xr:uid="{00000000-0005-0000-0000-000005000000}"/>
    <cellStyle name="20% - Accent1 2" xfId="7" xr:uid="{00000000-0005-0000-0000-000006000000}"/>
    <cellStyle name="20% - Accent1 3" xfId="8" xr:uid="{00000000-0005-0000-0000-000007000000}"/>
    <cellStyle name="20% - Accent1 4" xfId="9" xr:uid="{00000000-0005-0000-0000-000008000000}"/>
    <cellStyle name="20% - Accent2" xfId="10" xr:uid="{00000000-0005-0000-0000-000009000000}"/>
    <cellStyle name="20% - Accent2 2" xfId="11" xr:uid="{00000000-0005-0000-0000-00000A000000}"/>
    <cellStyle name="20% - Accent2 3" xfId="12" xr:uid="{00000000-0005-0000-0000-00000B000000}"/>
    <cellStyle name="20% - Accent2 4" xfId="13" xr:uid="{00000000-0005-0000-0000-00000C000000}"/>
    <cellStyle name="20% - Accent3" xfId="14" xr:uid="{00000000-0005-0000-0000-00000D000000}"/>
    <cellStyle name="20% - Accent3 2" xfId="15" xr:uid="{00000000-0005-0000-0000-00000E000000}"/>
    <cellStyle name="20% - Accent3 3" xfId="16" xr:uid="{00000000-0005-0000-0000-00000F000000}"/>
    <cellStyle name="20% - Accent3 4" xfId="17" xr:uid="{00000000-0005-0000-0000-000010000000}"/>
    <cellStyle name="20% - Accent4" xfId="18" xr:uid="{00000000-0005-0000-0000-000011000000}"/>
    <cellStyle name="20% - Accent4 2" xfId="19" xr:uid="{00000000-0005-0000-0000-000012000000}"/>
    <cellStyle name="20% - Accent4 3" xfId="20" xr:uid="{00000000-0005-0000-0000-000013000000}"/>
    <cellStyle name="20% - Accent4 4" xfId="21" xr:uid="{00000000-0005-0000-0000-000014000000}"/>
    <cellStyle name="20% - Accent5" xfId="22" xr:uid="{00000000-0005-0000-0000-000015000000}"/>
    <cellStyle name="20% - Accent5 2" xfId="23" xr:uid="{00000000-0005-0000-0000-000016000000}"/>
    <cellStyle name="20% - Accent5 3" xfId="24" xr:uid="{00000000-0005-0000-0000-000017000000}"/>
    <cellStyle name="20% - Accent5 4" xfId="25" xr:uid="{00000000-0005-0000-0000-000018000000}"/>
    <cellStyle name="20% - Accent6" xfId="26" xr:uid="{00000000-0005-0000-0000-000019000000}"/>
    <cellStyle name="20% - Accent6 2" xfId="27" xr:uid="{00000000-0005-0000-0000-00001A000000}"/>
    <cellStyle name="20% - Accent6 3" xfId="28" xr:uid="{00000000-0005-0000-0000-00001B000000}"/>
    <cellStyle name="20% - Accent6 4" xfId="29" xr:uid="{00000000-0005-0000-0000-00001C000000}"/>
    <cellStyle name="20% - Énfasis1" xfId="30" xr:uid="{00000000-0005-0000-0000-00001D000000}"/>
    <cellStyle name="20% - Énfasis2" xfId="31" xr:uid="{00000000-0005-0000-0000-00001E000000}"/>
    <cellStyle name="20% - Énfasis3" xfId="32" xr:uid="{00000000-0005-0000-0000-00001F000000}"/>
    <cellStyle name="20% - Énfasis4" xfId="33" xr:uid="{00000000-0005-0000-0000-000020000000}"/>
    <cellStyle name="20% - Énfasis5" xfId="34" xr:uid="{00000000-0005-0000-0000-000021000000}"/>
    <cellStyle name="20% - Énfasis6" xfId="35" xr:uid="{00000000-0005-0000-0000-000022000000}"/>
    <cellStyle name="40% - Accent1" xfId="36" xr:uid="{00000000-0005-0000-0000-000023000000}"/>
    <cellStyle name="40% - Accent1 2" xfId="37" xr:uid="{00000000-0005-0000-0000-000024000000}"/>
    <cellStyle name="40% - Accent1 3" xfId="38" xr:uid="{00000000-0005-0000-0000-000025000000}"/>
    <cellStyle name="40% - Accent1 4" xfId="39" xr:uid="{00000000-0005-0000-0000-000026000000}"/>
    <cellStyle name="40% - Accent2" xfId="40" xr:uid="{00000000-0005-0000-0000-000027000000}"/>
    <cellStyle name="40% - Accent2 2" xfId="41" xr:uid="{00000000-0005-0000-0000-000028000000}"/>
    <cellStyle name="40% - Accent2 3" xfId="42" xr:uid="{00000000-0005-0000-0000-000029000000}"/>
    <cellStyle name="40% - Accent2 4" xfId="43" xr:uid="{00000000-0005-0000-0000-00002A000000}"/>
    <cellStyle name="40% - Accent3" xfId="44" xr:uid="{00000000-0005-0000-0000-00002B000000}"/>
    <cellStyle name="40% - Accent3 2" xfId="45" xr:uid="{00000000-0005-0000-0000-00002C000000}"/>
    <cellStyle name="40% - Accent3 3" xfId="46" xr:uid="{00000000-0005-0000-0000-00002D000000}"/>
    <cellStyle name="40% - Accent3 4" xfId="47" xr:uid="{00000000-0005-0000-0000-00002E000000}"/>
    <cellStyle name="40% - Accent4" xfId="48" xr:uid="{00000000-0005-0000-0000-00002F000000}"/>
    <cellStyle name="40% - Accent4 2" xfId="49" xr:uid="{00000000-0005-0000-0000-000030000000}"/>
    <cellStyle name="40% - Accent4 3" xfId="50" xr:uid="{00000000-0005-0000-0000-000031000000}"/>
    <cellStyle name="40% - Accent4 4" xfId="51" xr:uid="{00000000-0005-0000-0000-000032000000}"/>
    <cellStyle name="40% - Accent5" xfId="52" xr:uid="{00000000-0005-0000-0000-000033000000}"/>
    <cellStyle name="40% - Accent5 2" xfId="53" xr:uid="{00000000-0005-0000-0000-000034000000}"/>
    <cellStyle name="40% - Accent5 3" xfId="54" xr:uid="{00000000-0005-0000-0000-000035000000}"/>
    <cellStyle name="40% - Accent5 4" xfId="55" xr:uid="{00000000-0005-0000-0000-000036000000}"/>
    <cellStyle name="40% - Accent6" xfId="56" xr:uid="{00000000-0005-0000-0000-000037000000}"/>
    <cellStyle name="40% - Accent6 2" xfId="57" xr:uid="{00000000-0005-0000-0000-000038000000}"/>
    <cellStyle name="40% - Accent6 3" xfId="58" xr:uid="{00000000-0005-0000-0000-000039000000}"/>
    <cellStyle name="40% - Accent6 4" xfId="59" xr:uid="{00000000-0005-0000-0000-00003A000000}"/>
    <cellStyle name="40% - Énfasis1" xfId="60" xr:uid="{00000000-0005-0000-0000-00003B000000}"/>
    <cellStyle name="40% - Énfasis2" xfId="61" xr:uid="{00000000-0005-0000-0000-00003C000000}"/>
    <cellStyle name="40% - Énfasis3" xfId="62" xr:uid="{00000000-0005-0000-0000-00003D000000}"/>
    <cellStyle name="40% - Énfasis4" xfId="63" xr:uid="{00000000-0005-0000-0000-00003E000000}"/>
    <cellStyle name="40% - Énfasis5" xfId="64" xr:uid="{00000000-0005-0000-0000-00003F000000}"/>
    <cellStyle name="40% - Énfasis6" xfId="65" xr:uid="{00000000-0005-0000-0000-000040000000}"/>
    <cellStyle name="60% - Accent1" xfId="66" xr:uid="{00000000-0005-0000-0000-000041000000}"/>
    <cellStyle name="60% - Accent1 2" xfId="67" xr:uid="{00000000-0005-0000-0000-000042000000}"/>
    <cellStyle name="60% - Accent1 3" xfId="68" xr:uid="{00000000-0005-0000-0000-000043000000}"/>
    <cellStyle name="60% - Accent1 4" xfId="69" xr:uid="{00000000-0005-0000-0000-000044000000}"/>
    <cellStyle name="60% - Accent2" xfId="70" xr:uid="{00000000-0005-0000-0000-000045000000}"/>
    <cellStyle name="60% - Accent2 2" xfId="71" xr:uid="{00000000-0005-0000-0000-000046000000}"/>
    <cellStyle name="60% - Accent2 3" xfId="72" xr:uid="{00000000-0005-0000-0000-000047000000}"/>
    <cellStyle name="60% - Accent2 4" xfId="73" xr:uid="{00000000-0005-0000-0000-000048000000}"/>
    <cellStyle name="60% - Accent3" xfId="74" xr:uid="{00000000-0005-0000-0000-000049000000}"/>
    <cellStyle name="60% - Accent3 2" xfId="75" xr:uid="{00000000-0005-0000-0000-00004A000000}"/>
    <cellStyle name="60% - Accent3 3" xfId="76" xr:uid="{00000000-0005-0000-0000-00004B000000}"/>
    <cellStyle name="60% - Accent3 4" xfId="77" xr:uid="{00000000-0005-0000-0000-00004C000000}"/>
    <cellStyle name="60% - Accent4" xfId="78" xr:uid="{00000000-0005-0000-0000-00004D000000}"/>
    <cellStyle name="60% - Accent4 2" xfId="79" xr:uid="{00000000-0005-0000-0000-00004E000000}"/>
    <cellStyle name="60% - Accent4 3" xfId="80" xr:uid="{00000000-0005-0000-0000-00004F000000}"/>
    <cellStyle name="60% - Accent4 4" xfId="81" xr:uid="{00000000-0005-0000-0000-000050000000}"/>
    <cellStyle name="60% - Accent5" xfId="82" xr:uid="{00000000-0005-0000-0000-000051000000}"/>
    <cellStyle name="60% - Accent5 2" xfId="83" xr:uid="{00000000-0005-0000-0000-000052000000}"/>
    <cellStyle name="60% - Accent5 3" xfId="84" xr:uid="{00000000-0005-0000-0000-000053000000}"/>
    <cellStyle name="60% - Accent5 4" xfId="85" xr:uid="{00000000-0005-0000-0000-000054000000}"/>
    <cellStyle name="60% - Accent6" xfId="86" xr:uid="{00000000-0005-0000-0000-000055000000}"/>
    <cellStyle name="60% - Accent6 2" xfId="87" xr:uid="{00000000-0005-0000-0000-000056000000}"/>
    <cellStyle name="60% - Accent6 3" xfId="88" xr:uid="{00000000-0005-0000-0000-000057000000}"/>
    <cellStyle name="60% - Accent6 4" xfId="89" xr:uid="{00000000-0005-0000-0000-000058000000}"/>
    <cellStyle name="60% - Énfasis1" xfId="90" xr:uid="{00000000-0005-0000-0000-000059000000}"/>
    <cellStyle name="60% - Énfasis2" xfId="91" xr:uid="{00000000-0005-0000-0000-00005A000000}"/>
    <cellStyle name="60% - Énfasis3" xfId="92" xr:uid="{00000000-0005-0000-0000-00005B000000}"/>
    <cellStyle name="60% - Énfasis4" xfId="93" xr:uid="{00000000-0005-0000-0000-00005C000000}"/>
    <cellStyle name="60% - Énfasis5" xfId="94" xr:uid="{00000000-0005-0000-0000-00005D000000}"/>
    <cellStyle name="60% - Énfasis6" xfId="95" xr:uid="{00000000-0005-0000-0000-00005E000000}"/>
    <cellStyle name="Accent1" xfId="96" xr:uid="{00000000-0005-0000-0000-00005F000000}"/>
    <cellStyle name="Accent1 2" xfId="97" xr:uid="{00000000-0005-0000-0000-000060000000}"/>
    <cellStyle name="Accent1 3" xfId="98" xr:uid="{00000000-0005-0000-0000-000061000000}"/>
    <cellStyle name="Accent1 4" xfId="99" xr:uid="{00000000-0005-0000-0000-000062000000}"/>
    <cellStyle name="Accent2" xfId="100" xr:uid="{00000000-0005-0000-0000-000063000000}"/>
    <cellStyle name="Accent2 2" xfId="101" xr:uid="{00000000-0005-0000-0000-000064000000}"/>
    <cellStyle name="Accent2 3" xfId="102" xr:uid="{00000000-0005-0000-0000-000065000000}"/>
    <cellStyle name="Accent2 4" xfId="103" xr:uid="{00000000-0005-0000-0000-000066000000}"/>
    <cellStyle name="Accent3" xfId="104" xr:uid="{00000000-0005-0000-0000-000067000000}"/>
    <cellStyle name="Accent3 2" xfId="105" xr:uid="{00000000-0005-0000-0000-000068000000}"/>
    <cellStyle name="Accent3 3" xfId="106" xr:uid="{00000000-0005-0000-0000-000069000000}"/>
    <cellStyle name="Accent3 4" xfId="107" xr:uid="{00000000-0005-0000-0000-00006A000000}"/>
    <cellStyle name="Accent4" xfId="108" xr:uid="{00000000-0005-0000-0000-00006B000000}"/>
    <cellStyle name="Accent4 2" xfId="109" xr:uid="{00000000-0005-0000-0000-00006C000000}"/>
    <cellStyle name="Accent4 3" xfId="110" xr:uid="{00000000-0005-0000-0000-00006D000000}"/>
    <cellStyle name="Accent4 4" xfId="111" xr:uid="{00000000-0005-0000-0000-00006E000000}"/>
    <cellStyle name="Accent5" xfId="112" xr:uid="{00000000-0005-0000-0000-00006F000000}"/>
    <cellStyle name="Accent5 2" xfId="113" xr:uid="{00000000-0005-0000-0000-000070000000}"/>
    <cellStyle name="Accent5 3" xfId="114" xr:uid="{00000000-0005-0000-0000-000071000000}"/>
    <cellStyle name="Accent5 4" xfId="115" xr:uid="{00000000-0005-0000-0000-000072000000}"/>
    <cellStyle name="Accent6" xfId="116" xr:uid="{00000000-0005-0000-0000-000073000000}"/>
    <cellStyle name="Accent6 2" xfId="117" xr:uid="{00000000-0005-0000-0000-000074000000}"/>
    <cellStyle name="Accent6 3" xfId="118" xr:uid="{00000000-0005-0000-0000-000075000000}"/>
    <cellStyle name="Accent6 4" xfId="119" xr:uid="{00000000-0005-0000-0000-000076000000}"/>
    <cellStyle name="Bad" xfId="120" xr:uid="{00000000-0005-0000-0000-000077000000}"/>
    <cellStyle name="Bad 2" xfId="121" xr:uid="{00000000-0005-0000-0000-000078000000}"/>
    <cellStyle name="Bad 3" xfId="122" xr:uid="{00000000-0005-0000-0000-000079000000}"/>
    <cellStyle name="Bad 4" xfId="123" xr:uid="{00000000-0005-0000-0000-00007A000000}"/>
    <cellStyle name="Calc" xfId="124" xr:uid="{00000000-0005-0000-0000-00007B000000}"/>
    <cellStyle name="Calculation" xfId="125" xr:uid="{00000000-0005-0000-0000-00007C000000}"/>
    <cellStyle name="Calculation 2" xfId="126" xr:uid="{00000000-0005-0000-0000-00007D000000}"/>
    <cellStyle name="Calculation 2 2" xfId="127" xr:uid="{00000000-0005-0000-0000-00007E000000}"/>
    <cellStyle name="Calculation 3" xfId="128" xr:uid="{00000000-0005-0000-0000-00007F000000}"/>
    <cellStyle name="Calculation 3 2" xfId="129" xr:uid="{00000000-0005-0000-0000-000080000000}"/>
    <cellStyle name="Calculation 4" xfId="130" xr:uid="{00000000-0005-0000-0000-000081000000}"/>
    <cellStyle name="Calculation 4 2" xfId="131" xr:uid="{00000000-0005-0000-0000-000082000000}"/>
    <cellStyle name="Categoría del Piloto de Datos" xfId="132" xr:uid="{00000000-0005-0000-0000-000083000000}"/>
    <cellStyle name="Check Cell 2" xfId="133" xr:uid="{00000000-0005-0000-0000-000084000000}"/>
    <cellStyle name="Check Cell 3" xfId="134" xr:uid="{00000000-0005-0000-0000-000085000000}"/>
    <cellStyle name="Check Cell 4" xfId="135" xr:uid="{00000000-0005-0000-0000-000086000000}"/>
    <cellStyle name="Comma" xfId="136" builtinId="3"/>
    <cellStyle name="Comma 2" xfId="292" xr:uid="{00000000-0005-0000-0000-000088000000}"/>
    <cellStyle name="Diseño" xfId="137" xr:uid="{00000000-0005-0000-0000-000089000000}"/>
    <cellStyle name="Encabezado 1" xfId="138" xr:uid="{00000000-0005-0000-0000-00008A000000}"/>
    <cellStyle name="Énfasis1" xfId="139" xr:uid="{00000000-0005-0000-0000-00008B000000}"/>
    <cellStyle name="Énfasis2" xfId="140" xr:uid="{00000000-0005-0000-0000-00008C000000}"/>
    <cellStyle name="Énfasis3" xfId="141" xr:uid="{00000000-0005-0000-0000-00008D000000}"/>
    <cellStyle name="Énfasis4" xfId="142" xr:uid="{00000000-0005-0000-0000-00008E000000}"/>
    <cellStyle name="Énfasis5" xfId="143" xr:uid="{00000000-0005-0000-0000-00008F000000}"/>
    <cellStyle name="Énfasis6" xfId="144" xr:uid="{00000000-0005-0000-0000-000090000000}"/>
    <cellStyle name="Euro" xfId="145" xr:uid="{00000000-0005-0000-0000-000091000000}"/>
    <cellStyle name="Explanatory Text" xfId="146" xr:uid="{00000000-0005-0000-0000-000092000000}"/>
    <cellStyle name="Explanatory Text 2" xfId="147" xr:uid="{00000000-0005-0000-0000-000093000000}"/>
    <cellStyle name="Explanatory Text 3" xfId="148" xr:uid="{00000000-0005-0000-0000-000094000000}"/>
    <cellStyle name="Explanatory Text 4" xfId="149" xr:uid="{00000000-0005-0000-0000-000095000000}"/>
    <cellStyle name="Good 2" xfId="150" xr:uid="{00000000-0005-0000-0000-000096000000}"/>
    <cellStyle name="Good 3" xfId="151" xr:uid="{00000000-0005-0000-0000-000097000000}"/>
    <cellStyle name="Good 4" xfId="152" xr:uid="{00000000-0005-0000-0000-000098000000}"/>
    <cellStyle name="Headin - Estilo2" xfId="153" xr:uid="{00000000-0005-0000-0000-000099000000}"/>
    <cellStyle name="Headin - Estilo3" xfId="154" xr:uid="{00000000-0005-0000-0000-00009A000000}"/>
    <cellStyle name="Heading 1" xfId="155" xr:uid="{00000000-0005-0000-0000-00009B000000}"/>
    <cellStyle name="Heading 1 2" xfId="156" xr:uid="{00000000-0005-0000-0000-00009C000000}"/>
    <cellStyle name="Heading 1 3" xfId="157" xr:uid="{00000000-0005-0000-0000-00009D000000}"/>
    <cellStyle name="Heading 1 4" xfId="158" xr:uid="{00000000-0005-0000-0000-00009E000000}"/>
    <cellStyle name="Heading 2" xfId="159" xr:uid="{00000000-0005-0000-0000-00009F000000}"/>
    <cellStyle name="Heading 2 2" xfId="160" xr:uid="{00000000-0005-0000-0000-0000A0000000}"/>
    <cellStyle name="Heading 2 3" xfId="161" xr:uid="{00000000-0005-0000-0000-0000A1000000}"/>
    <cellStyle name="Heading 2 4" xfId="162" xr:uid="{00000000-0005-0000-0000-0000A2000000}"/>
    <cellStyle name="Heading 3" xfId="163" xr:uid="{00000000-0005-0000-0000-0000A3000000}"/>
    <cellStyle name="Heading 3 2" xfId="164" xr:uid="{00000000-0005-0000-0000-0000A4000000}"/>
    <cellStyle name="Heading 3 3" xfId="165" xr:uid="{00000000-0005-0000-0000-0000A5000000}"/>
    <cellStyle name="Heading 3 4" xfId="166" xr:uid="{00000000-0005-0000-0000-0000A6000000}"/>
    <cellStyle name="Heading 4 2" xfId="167" xr:uid="{00000000-0005-0000-0000-0000A7000000}"/>
    <cellStyle name="Heading 4 3" xfId="168" xr:uid="{00000000-0005-0000-0000-0000A8000000}"/>
    <cellStyle name="Heading 4 4" xfId="169" xr:uid="{00000000-0005-0000-0000-0000A9000000}"/>
    <cellStyle name="Incorrecto" xfId="170" xr:uid="{00000000-0005-0000-0000-0000AA000000}"/>
    <cellStyle name="Initial Inputs" xfId="171" xr:uid="{00000000-0005-0000-0000-0000AB000000}"/>
    <cellStyle name="Input 2" xfId="172" xr:uid="{00000000-0005-0000-0000-0000AC000000}"/>
    <cellStyle name="Input 2 2" xfId="173" xr:uid="{00000000-0005-0000-0000-0000AD000000}"/>
    <cellStyle name="Input 3" xfId="174" xr:uid="{00000000-0005-0000-0000-0000AE000000}"/>
    <cellStyle name="Input 3 2" xfId="175" xr:uid="{00000000-0005-0000-0000-0000AF000000}"/>
    <cellStyle name="Input 4" xfId="176" xr:uid="{00000000-0005-0000-0000-0000B0000000}"/>
    <cellStyle name="Input 4 2" xfId="177" xr:uid="{00000000-0005-0000-0000-0000B1000000}"/>
    <cellStyle name="Linked" xfId="178" xr:uid="{00000000-0005-0000-0000-0000B2000000}"/>
    <cellStyle name="Linked Cell 2" xfId="179" xr:uid="{00000000-0005-0000-0000-0000B3000000}"/>
    <cellStyle name="Linked Cell 3" xfId="180" xr:uid="{00000000-0005-0000-0000-0000B4000000}"/>
    <cellStyle name="Linked Cell 4" xfId="181" xr:uid="{00000000-0005-0000-0000-0000B5000000}"/>
    <cellStyle name="Millares [0] 2" xfId="182" xr:uid="{00000000-0005-0000-0000-0000B6000000}"/>
    <cellStyle name="Millares [0] 3" xfId="183" xr:uid="{00000000-0005-0000-0000-0000B7000000}"/>
    <cellStyle name="Millares [0] 4" xfId="184" xr:uid="{00000000-0005-0000-0000-0000B8000000}"/>
    <cellStyle name="Millares 2" xfId="185" xr:uid="{00000000-0005-0000-0000-0000B9000000}"/>
    <cellStyle name="Millares 2 2" xfId="186" xr:uid="{00000000-0005-0000-0000-0000BA000000}"/>
    <cellStyle name="Millares 2_Avance PIP LImpieza publica LC 16.10.15 " xfId="187" xr:uid="{00000000-0005-0000-0000-0000BB000000}"/>
    <cellStyle name="Millares 3" xfId="188" xr:uid="{00000000-0005-0000-0000-0000BC000000}"/>
    <cellStyle name="Millares 4" xfId="189" xr:uid="{00000000-0005-0000-0000-0000BD000000}"/>
    <cellStyle name="Millares 5" xfId="190" xr:uid="{00000000-0005-0000-0000-0000BE000000}"/>
    <cellStyle name="Millares 6" xfId="191" xr:uid="{00000000-0005-0000-0000-0000BF000000}"/>
    <cellStyle name="Millares 7" xfId="192" xr:uid="{00000000-0005-0000-0000-0000C0000000}"/>
    <cellStyle name="Millares 8" xfId="193" xr:uid="{00000000-0005-0000-0000-0000C1000000}"/>
    <cellStyle name="Millares_Copia de Detalle Bid 01.08.18" xfId="194" xr:uid="{00000000-0005-0000-0000-0000C2000000}"/>
    <cellStyle name="Missing" xfId="195" xr:uid="{00000000-0005-0000-0000-0000C3000000}"/>
    <cellStyle name="Neutral" xfId="196" builtinId="28" customBuiltin="1"/>
    <cellStyle name="Neutral 2" xfId="197" xr:uid="{00000000-0005-0000-0000-0000C5000000}"/>
    <cellStyle name="Neutral 3" xfId="198" xr:uid="{00000000-0005-0000-0000-0000C6000000}"/>
    <cellStyle name="Neutral 4" xfId="199" xr:uid="{00000000-0005-0000-0000-0000C7000000}"/>
    <cellStyle name="Normal" xfId="0" builtinId="0"/>
    <cellStyle name="Normal 10" xfId="291" xr:uid="{00000000-0005-0000-0000-0000C9000000}"/>
    <cellStyle name="Normal 10 2 10" xfId="200" xr:uid="{00000000-0005-0000-0000-0000CA000000}"/>
    <cellStyle name="Normal 125" xfId="201" xr:uid="{00000000-0005-0000-0000-0000CB000000}"/>
    <cellStyle name="Normal 126 2 2 2 2 2 2" xfId="202" xr:uid="{00000000-0005-0000-0000-0000CC000000}"/>
    <cellStyle name="Normal 126 2 2 2 2 2 2 2" xfId="203" xr:uid="{00000000-0005-0000-0000-0000CD000000}"/>
    <cellStyle name="Normal 126 2 2 2 2 2 2 3" xfId="204" xr:uid="{00000000-0005-0000-0000-0000CE000000}"/>
    <cellStyle name="Normal 127 2 2 2 2 2" xfId="205" xr:uid="{00000000-0005-0000-0000-0000CF000000}"/>
    <cellStyle name="Normal 162 2" xfId="206" xr:uid="{00000000-0005-0000-0000-0000D0000000}"/>
    <cellStyle name="Normal 2" xfId="207" xr:uid="{00000000-0005-0000-0000-0000D1000000}"/>
    <cellStyle name="Normal 2 10" xfId="208" xr:uid="{00000000-0005-0000-0000-0000D2000000}"/>
    <cellStyle name="Normal 2 2" xfId="209" xr:uid="{00000000-0005-0000-0000-0000D3000000}"/>
    <cellStyle name="Normal 2 2 2" xfId="210" xr:uid="{00000000-0005-0000-0000-0000D4000000}"/>
    <cellStyle name="Normal 2 2_Copia de PE-L1239 Presupuesto SUNAT PE 28 junio 2018  B" xfId="211" xr:uid="{00000000-0005-0000-0000-0000D5000000}"/>
    <cellStyle name="Normal 2 3" xfId="212" xr:uid="{00000000-0005-0000-0000-0000D6000000}"/>
    <cellStyle name="Normal 2 4" xfId="213" xr:uid="{00000000-0005-0000-0000-0000D7000000}"/>
    <cellStyle name="Normal 2_Costos UE y otros" xfId="214" xr:uid="{00000000-0005-0000-0000-0000D8000000}"/>
    <cellStyle name="Normal 3" xfId="215" xr:uid="{00000000-0005-0000-0000-0000D9000000}"/>
    <cellStyle name="Normal 3 2" xfId="216" xr:uid="{00000000-0005-0000-0000-0000DA000000}"/>
    <cellStyle name="Normal 4" xfId="217" xr:uid="{00000000-0005-0000-0000-0000DB000000}"/>
    <cellStyle name="Normal 4 2" xfId="218" xr:uid="{00000000-0005-0000-0000-0000DC000000}"/>
    <cellStyle name="Normal 4 2 2" xfId="219" xr:uid="{00000000-0005-0000-0000-0000DD000000}"/>
    <cellStyle name="Normal 4 2_Copia de PE-L1239 Presupuesto SUNAT PE 28 junio 2018  B" xfId="220" xr:uid="{00000000-0005-0000-0000-0000DE000000}"/>
    <cellStyle name="Normal 4 3" xfId="221" xr:uid="{00000000-0005-0000-0000-0000DF000000}"/>
    <cellStyle name="Normal 4_Copia de PE-L1239 Presupuesto SUNAT PE 28 junio 2018  B" xfId="222" xr:uid="{00000000-0005-0000-0000-0000E0000000}"/>
    <cellStyle name="Normal 5" xfId="223" xr:uid="{00000000-0005-0000-0000-0000E1000000}"/>
    <cellStyle name="Normal 5 2" xfId="224" xr:uid="{00000000-0005-0000-0000-0000E2000000}"/>
    <cellStyle name="Normal 5 2 2" xfId="225" xr:uid="{00000000-0005-0000-0000-0000E3000000}"/>
    <cellStyle name="Normal 5 2_Copia de PE-L1239 Presupuesto SUNAT PE 28 junio 2018  B" xfId="226" xr:uid="{00000000-0005-0000-0000-0000E4000000}"/>
    <cellStyle name="Normal 5 3" xfId="227" xr:uid="{00000000-0005-0000-0000-0000E5000000}"/>
    <cellStyle name="Normal 5_Copia de PE-L1239 Presupuesto SUNAT PE 28 junio 2018  B" xfId="228" xr:uid="{00000000-0005-0000-0000-0000E6000000}"/>
    <cellStyle name="Normal 6" xfId="229" xr:uid="{00000000-0005-0000-0000-0000E7000000}"/>
    <cellStyle name="Normal 6 2" xfId="230" xr:uid="{00000000-0005-0000-0000-0000E8000000}"/>
    <cellStyle name="Normal 6 2 2" xfId="231" xr:uid="{00000000-0005-0000-0000-0000E9000000}"/>
    <cellStyle name="Normal 6 3" xfId="232" xr:uid="{00000000-0005-0000-0000-0000EA000000}"/>
    <cellStyle name="Normal 6_Copia de PE-L1239 Presupuesto SUNAT PE 28 junio 2018  B" xfId="233" xr:uid="{00000000-0005-0000-0000-0000EB000000}"/>
    <cellStyle name="Normal 7" xfId="234" xr:uid="{00000000-0005-0000-0000-0000EC000000}"/>
    <cellStyle name="Normal 7 2" xfId="235" xr:uid="{00000000-0005-0000-0000-0000ED000000}"/>
    <cellStyle name="Normal 8" xfId="236" xr:uid="{00000000-0005-0000-0000-0000EE000000}"/>
    <cellStyle name="Normal 9" xfId="237" xr:uid="{00000000-0005-0000-0000-0000EF000000}"/>
    <cellStyle name="Normal 99 2" xfId="238" xr:uid="{00000000-0005-0000-0000-0000F0000000}"/>
    <cellStyle name="Normal_Copia de Detalle Bid 01.08.18" xfId="239" xr:uid="{00000000-0005-0000-0000-0000F1000000}"/>
    <cellStyle name="Normal_Copia de PE-L1239 Presupuesto SUNAT PE 28 junio 2018  B" xfId="240" xr:uid="{00000000-0005-0000-0000-0000F2000000}"/>
    <cellStyle name="Normal_Detalle de costos" xfId="241" xr:uid="{00000000-0005-0000-0000-0000F3000000}"/>
    <cellStyle name="Normal_Sensibilidad" xfId="242" xr:uid="{00000000-0005-0000-0000-0000F4000000}"/>
    <cellStyle name="Normal_Templates" xfId="243" xr:uid="{00000000-0005-0000-0000-0000F5000000}"/>
    <cellStyle name="Not In Use" xfId="244" xr:uid="{00000000-0005-0000-0000-0000F6000000}"/>
    <cellStyle name="Note 2" xfId="245" xr:uid="{00000000-0005-0000-0000-0000F7000000}"/>
    <cellStyle name="Note 2 2" xfId="246" xr:uid="{00000000-0005-0000-0000-0000F8000000}"/>
    <cellStyle name="Note 3" xfId="247" xr:uid="{00000000-0005-0000-0000-0000F9000000}"/>
    <cellStyle name="Note 3 2" xfId="248" xr:uid="{00000000-0005-0000-0000-0000FA000000}"/>
    <cellStyle name="Note 4" xfId="249" xr:uid="{00000000-0005-0000-0000-0000FB000000}"/>
    <cellStyle name="Note 4 2" xfId="250" xr:uid="{00000000-0005-0000-0000-0000FC000000}"/>
    <cellStyle name="Output" xfId="251" xr:uid="{00000000-0005-0000-0000-0000FD000000}"/>
    <cellStyle name="Output 2" xfId="252" xr:uid="{00000000-0005-0000-0000-0000FE000000}"/>
    <cellStyle name="Output 2 2" xfId="253" xr:uid="{00000000-0005-0000-0000-0000FF000000}"/>
    <cellStyle name="Output 3" xfId="254" xr:uid="{00000000-0005-0000-0000-000000010000}"/>
    <cellStyle name="Output 3 2" xfId="255" xr:uid="{00000000-0005-0000-0000-000001010000}"/>
    <cellStyle name="Output 4" xfId="256" xr:uid="{00000000-0005-0000-0000-000002010000}"/>
    <cellStyle name="Output 4 2" xfId="257" xr:uid="{00000000-0005-0000-0000-000003010000}"/>
    <cellStyle name="Percent" xfId="258" builtinId="5"/>
    <cellStyle name="Percent 2" xfId="293" xr:uid="{00000000-0005-0000-0000-000005010000}"/>
    <cellStyle name="Percent 3" xfId="259" xr:uid="{00000000-0005-0000-0000-000006010000}"/>
    <cellStyle name="Placeholder" xfId="260" xr:uid="{00000000-0005-0000-0000-000007010000}"/>
    <cellStyle name="Porcentaje 2" xfId="261" xr:uid="{00000000-0005-0000-0000-000008010000}"/>
    <cellStyle name="Porcentual 2" xfId="262" xr:uid="{00000000-0005-0000-0000-000009010000}"/>
    <cellStyle name="Porcentual 3" xfId="263" xr:uid="{00000000-0005-0000-0000-00000A010000}"/>
    <cellStyle name="Porcentual 3 2" xfId="264" xr:uid="{00000000-0005-0000-0000-00000B010000}"/>
    <cellStyle name="Porcentual 4" xfId="265" xr:uid="{00000000-0005-0000-0000-00000C010000}"/>
    <cellStyle name="Porcentual 5" xfId="266" xr:uid="{00000000-0005-0000-0000-00000D010000}"/>
    <cellStyle name="Porcentual 6" xfId="267" xr:uid="{00000000-0005-0000-0000-00000E010000}"/>
    <cellStyle name="Porcentual 7" xfId="268" xr:uid="{00000000-0005-0000-0000-00000F010000}"/>
    <cellStyle name="Porcentual 8" xfId="269" xr:uid="{00000000-0005-0000-0000-000010010000}"/>
    <cellStyle name="Salida" xfId="270" xr:uid="{00000000-0005-0000-0000-000011010000}"/>
    <cellStyle name="StrategyDependent" xfId="271" xr:uid="{00000000-0005-0000-0000-000012010000}"/>
    <cellStyle name="TableStyleLight1" xfId="272" xr:uid="{00000000-0005-0000-0000-000013010000}"/>
    <cellStyle name="Temp" xfId="273" xr:uid="{00000000-0005-0000-0000-000014010000}"/>
    <cellStyle name="Title" xfId="274" xr:uid="{00000000-0005-0000-0000-000015010000}"/>
    <cellStyle name="Title 2" xfId="275" xr:uid="{00000000-0005-0000-0000-000016010000}"/>
    <cellStyle name="Title 3" xfId="276" xr:uid="{00000000-0005-0000-0000-000017010000}"/>
    <cellStyle name="Title 4" xfId="277" xr:uid="{00000000-0005-0000-0000-000018010000}"/>
    <cellStyle name="Título" xfId="278" xr:uid="{00000000-0005-0000-0000-000019010000}"/>
    <cellStyle name="Total" xfId="279" builtinId="25" customBuiltin="1"/>
    <cellStyle name="Total 2" xfId="280" xr:uid="{00000000-0005-0000-0000-00001B010000}"/>
    <cellStyle name="Total 2 2" xfId="281" xr:uid="{00000000-0005-0000-0000-00001C010000}"/>
    <cellStyle name="Total 3" xfId="282" xr:uid="{00000000-0005-0000-0000-00001D010000}"/>
    <cellStyle name="Total 3 2" xfId="283" xr:uid="{00000000-0005-0000-0000-00001E010000}"/>
    <cellStyle name="Total 4" xfId="284" xr:uid="{00000000-0005-0000-0000-00001F010000}"/>
    <cellStyle name="Total 4 2" xfId="285" xr:uid="{00000000-0005-0000-0000-000020010000}"/>
    <cellStyle name="Warning Text 2" xfId="286" xr:uid="{00000000-0005-0000-0000-000021010000}"/>
    <cellStyle name="Warning Text 3" xfId="287" xr:uid="{00000000-0005-0000-0000-000022010000}"/>
    <cellStyle name="Warning Text 4" xfId="288" xr:uid="{00000000-0005-0000-0000-000023010000}"/>
    <cellStyle name="桁区切り_Waste data 101027" xfId="289" xr:uid="{00000000-0005-0000-0000-000024010000}"/>
    <cellStyle name="標準_Machinery list" xfId="290" xr:uid="{00000000-0005-0000-0000-000025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customXml" Target="../customXml/item2.xml"/><Relationship Id="rId47" Type="http://schemas.openxmlformats.org/officeDocument/2006/relationships/customXml" Target="../customXml/item7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45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styles" Target="styles.xml"/><Relationship Id="rId46" Type="http://schemas.openxmlformats.org/officeDocument/2006/relationships/customXml" Target="../customXml/item6.xml"/><Relationship Id="rId20" Type="http://schemas.openxmlformats.org/officeDocument/2006/relationships/worksheet" Target="worksheets/sheet20.xml"/><Relationship Id="rId41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728</xdr:colOff>
      <xdr:row>162</xdr:row>
      <xdr:rowOff>12942</xdr:rowOff>
    </xdr:from>
    <xdr:to>
      <xdr:col>13</xdr:col>
      <xdr:colOff>2882</xdr:colOff>
      <xdr:row>163</xdr:row>
      <xdr:rowOff>167851</xdr:rowOff>
    </xdr:to>
    <xdr:sp macro="" textlink="">
      <xdr:nvSpPr>
        <xdr:cNvPr id="7287004" name="Oval 1">
          <a:extLst>
            <a:ext uri="{FF2B5EF4-FFF2-40B4-BE49-F238E27FC236}">
              <a16:creationId xmlns:a16="http://schemas.microsoft.com/office/drawing/2014/main" id="{DA9B3D2D-5CE0-4B04-9909-EB235FF4BAAB}"/>
            </a:ext>
          </a:extLst>
        </xdr:cNvPr>
        <xdr:cNvSpPr>
          <a:spLocks noChangeArrowheads="1"/>
        </xdr:cNvSpPr>
      </xdr:nvSpPr>
      <xdr:spPr bwMode="auto">
        <a:xfrm>
          <a:off x="8585200" y="404749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5173</xdr:colOff>
      <xdr:row>162</xdr:row>
      <xdr:rowOff>12942</xdr:rowOff>
    </xdr:from>
    <xdr:to>
      <xdr:col>17</xdr:col>
      <xdr:colOff>460</xdr:colOff>
      <xdr:row>163</xdr:row>
      <xdr:rowOff>167851</xdr:rowOff>
    </xdr:to>
    <xdr:sp macro="" textlink="">
      <xdr:nvSpPr>
        <xdr:cNvPr id="7287005" name="Oval 2">
          <a:extLst>
            <a:ext uri="{FF2B5EF4-FFF2-40B4-BE49-F238E27FC236}">
              <a16:creationId xmlns:a16="http://schemas.microsoft.com/office/drawing/2014/main" id="{D7B169FA-439A-42B8-A1F3-CD07BADF8D31}"/>
            </a:ext>
          </a:extLst>
        </xdr:cNvPr>
        <xdr:cNvSpPr>
          <a:spLocks noChangeArrowheads="1"/>
        </xdr:cNvSpPr>
      </xdr:nvSpPr>
      <xdr:spPr bwMode="auto">
        <a:xfrm>
          <a:off x="9423400" y="404749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12</xdr:col>
      <xdr:colOff>261938</xdr:colOff>
      <xdr:row>162</xdr:row>
      <xdr:rowOff>190500</xdr:rowOff>
    </xdr:from>
    <xdr:to>
      <xdr:col>15</xdr:col>
      <xdr:colOff>214313</xdr:colOff>
      <xdr:row>162</xdr:row>
      <xdr:rowOff>190500</xdr:rowOff>
    </xdr:to>
    <xdr:cxnSp macro="">
      <xdr:nvCxnSpPr>
        <xdr:cNvPr id="8453138" name="AutoShape 3">
          <a:extLst>
            <a:ext uri="{FF2B5EF4-FFF2-40B4-BE49-F238E27FC236}">
              <a16:creationId xmlns:a16="http://schemas.microsoft.com/office/drawing/2014/main" id="{7C63CFC7-FE90-4DBD-8F60-ACBCAAAFA743}"/>
            </a:ext>
          </a:extLst>
        </xdr:cNvPr>
        <xdr:cNvCxnSpPr>
          <a:cxnSpLocks noChangeShapeType="1"/>
          <a:stCxn id="7287004" idx="6"/>
          <a:endCxn id="7287005" idx="2"/>
        </xdr:cNvCxnSpPr>
      </xdr:nvCxnSpPr>
      <xdr:spPr bwMode="auto">
        <a:xfrm>
          <a:off x="8386763" y="40295513"/>
          <a:ext cx="6000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152083</xdr:colOff>
      <xdr:row>161</xdr:row>
      <xdr:rowOff>0</xdr:rowOff>
    </xdr:from>
    <xdr:ext cx="303673" cy="170560"/>
    <xdr:sp macro="" textlink="">
      <xdr:nvSpPr>
        <xdr:cNvPr id="5124" name="Text Box 4">
          <a:extLst>
            <a:ext uri="{FF2B5EF4-FFF2-40B4-BE49-F238E27FC236}">
              <a16:creationId xmlns:a16="http://schemas.microsoft.com/office/drawing/2014/main" id="{BC82C0D2-A977-4685-B320-98E4B97B9B33}"/>
            </a:ext>
          </a:extLst>
        </xdr:cNvPr>
        <xdr:cNvSpPr txBox="1">
          <a:spLocks noChangeArrowheads="1"/>
        </xdr:cNvSpPr>
      </xdr:nvSpPr>
      <xdr:spPr bwMode="auto">
        <a:xfrm>
          <a:off x="8545289" y="39960176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3.1.1</a:t>
          </a:r>
        </a:p>
      </xdr:txBody>
    </xdr:sp>
    <xdr:clientData/>
  </xdr:oneCellAnchor>
  <xdr:twoCellAnchor>
    <xdr:from>
      <xdr:col>19</xdr:col>
      <xdr:colOff>190818</xdr:colOff>
      <xdr:row>162</xdr:row>
      <xdr:rowOff>12942</xdr:rowOff>
    </xdr:from>
    <xdr:to>
      <xdr:col>21</xdr:col>
      <xdr:colOff>2420</xdr:colOff>
      <xdr:row>164</xdr:row>
      <xdr:rowOff>602</xdr:rowOff>
    </xdr:to>
    <xdr:sp macro="" textlink="">
      <xdr:nvSpPr>
        <xdr:cNvPr id="7287008" name="Oval 5">
          <a:extLst>
            <a:ext uri="{FF2B5EF4-FFF2-40B4-BE49-F238E27FC236}">
              <a16:creationId xmlns:a16="http://schemas.microsoft.com/office/drawing/2014/main" id="{A7EEA53E-B1ED-4B26-A8B2-59216AE78930}"/>
            </a:ext>
          </a:extLst>
        </xdr:cNvPr>
        <xdr:cNvSpPr>
          <a:spLocks noChangeArrowheads="1"/>
        </xdr:cNvSpPr>
      </xdr:nvSpPr>
      <xdr:spPr bwMode="auto">
        <a:xfrm>
          <a:off x="10375900" y="404749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285750</xdr:colOff>
      <xdr:row>162</xdr:row>
      <xdr:rowOff>190500</xdr:rowOff>
    </xdr:from>
    <xdr:to>
      <xdr:col>19</xdr:col>
      <xdr:colOff>176213</xdr:colOff>
      <xdr:row>162</xdr:row>
      <xdr:rowOff>190500</xdr:rowOff>
    </xdr:to>
    <xdr:cxnSp macro="">
      <xdr:nvCxnSpPr>
        <xdr:cNvPr id="8453141" name="AutoShape 6">
          <a:extLst>
            <a:ext uri="{FF2B5EF4-FFF2-40B4-BE49-F238E27FC236}">
              <a16:creationId xmlns:a16="http://schemas.microsoft.com/office/drawing/2014/main" id="{D549E425-84DF-4EAE-929E-A5AD94AE19D0}"/>
            </a:ext>
          </a:extLst>
        </xdr:cNvPr>
        <xdr:cNvCxnSpPr>
          <a:cxnSpLocks noChangeShapeType="1"/>
          <a:stCxn id="7287005" idx="6"/>
          <a:endCxn id="7287008" idx="2"/>
        </xdr:cNvCxnSpPr>
      </xdr:nvCxnSpPr>
      <xdr:spPr bwMode="auto">
        <a:xfrm>
          <a:off x="9215438" y="40295513"/>
          <a:ext cx="63341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115887</xdr:colOff>
      <xdr:row>161</xdr:row>
      <xdr:rowOff>52388</xdr:rowOff>
    </xdr:from>
    <xdr:ext cx="303673" cy="170560"/>
    <xdr:sp macro="" textlink="">
      <xdr:nvSpPr>
        <xdr:cNvPr id="5127" name="Text Box 7">
          <a:extLst>
            <a:ext uri="{FF2B5EF4-FFF2-40B4-BE49-F238E27FC236}">
              <a16:creationId xmlns:a16="http://schemas.microsoft.com/office/drawing/2014/main" id="{1F1E9636-DD75-47B6-9528-6C49E39E3EBA}"/>
            </a:ext>
          </a:extLst>
        </xdr:cNvPr>
        <xdr:cNvSpPr txBox="1">
          <a:spLocks noChangeArrowheads="1"/>
        </xdr:cNvSpPr>
      </xdr:nvSpPr>
      <xdr:spPr bwMode="auto">
        <a:xfrm>
          <a:off x="9343932" y="4001256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3.1.2</a:t>
          </a:r>
        </a:p>
      </xdr:txBody>
    </xdr:sp>
    <xdr:clientData/>
  </xdr:oneCellAnchor>
  <xdr:twoCellAnchor>
    <xdr:from>
      <xdr:col>24</xdr:col>
      <xdr:colOff>2036</xdr:colOff>
      <xdr:row>159</xdr:row>
      <xdr:rowOff>35877</xdr:rowOff>
    </xdr:from>
    <xdr:to>
      <xdr:col>25</xdr:col>
      <xdr:colOff>763</xdr:colOff>
      <xdr:row>160</xdr:row>
      <xdr:rowOff>156564</xdr:rowOff>
    </xdr:to>
    <xdr:sp macro="" textlink="">
      <xdr:nvSpPr>
        <xdr:cNvPr id="7287011" name="Oval 8">
          <a:extLst>
            <a:ext uri="{FF2B5EF4-FFF2-40B4-BE49-F238E27FC236}">
              <a16:creationId xmlns:a16="http://schemas.microsoft.com/office/drawing/2014/main" id="{65231E62-F172-492E-B059-AFA01B7CD8D2}"/>
            </a:ext>
          </a:extLst>
        </xdr:cNvPr>
        <xdr:cNvSpPr>
          <a:spLocks noChangeArrowheads="1"/>
        </xdr:cNvSpPr>
      </xdr:nvSpPr>
      <xdr:spPr bwMode="auto">
        <a:xfrm>
          <a:off x="11303000" y="400177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2036</xdr:colOff>
      <xdr:row>162</xdr:row>
      <xdr:rowOff>12942</xdr:rowOff>
    </xdr:from>
    <xdr:to>
      <xdr:col>25</xdr:col>
      <xdr:colOff>763</xdr:colOff>
      <xdr:row>164</xdr:row>
      <xdr:rowOff>602</xdr:rowOff>
    </xdr:to>
    <xdr:sp macro="" textlink="">
      <xdr:nvSpPr>
        <xdr:cNvPr id="7287012" name="Oval 9">
          <a:extLst>
            <a:ext uri="{FF2B5EF4-FFF2-40B4-BE49-F238E27FC236}">
              <a16:creationId xmlns:a16="http://schemas.microsoft.com/office/drawing/2014/main" id="{609817E1-5945-4445-916C-5017A2F2D2DE}"/>
            </a:ext>
          </a:extLst>
        </xdr:cNvPr>
        <xdr:cNvSpPr>
          <a:spLocks noChangeArrowheads="1"/>
        </xdr:cNvSpPr>
      </xdr:nvSpPr>
      <xdr:spPr bwMode="auto">
        <a:xfrm>
          <a:off x="11303000" y="404749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252413</xdr:colOff>
      <xdr:row>162</xdr:row>
      <xdr:rowOff>190500</xdr:rowOff>
    </xdr:from>
    <xdr:to>
      <xdr:col>23</xdr:col>
      <xdr:colOff>204788</xdr:colOff>
      <xdr:row>162</xdr:row>
      <xdr:rowOff>190500</xdr:rowOff>
    </xdr:to>
    <xdr:cxnSp macro="">
      <xdr:nvCxnSpPr>
        <xdr:cNvPr id="8453145" name="AutoShape 10">
          <a:extLst>
            <a:ext uri="{FF2B5EF4-FFF2-40B4-BE49-F238E27FC236}">
              <a16:creationId xmlns:a16="http://schemas.microsoft.com/office/drawing/2014/main" id="{523D591E-D528-4915-8707-4A9154193C08}"/>
            </a:ext>
          </a:extLst>
        </xdr:cNvPr>
        <xdr:cNvCxnSpPr>
          <a:cxnSpLocks noChangeShapeType="1"/>
          <a:stCxn id="7287008" idx="6"/>
          <a:endCxn id="7287012" idx="2"/>
        </xdr:cNvCxnSpPr>
      </xdr:nvCxnSpPr>
      <xdr:spPr bwMode="auto">
        <a:xfrm>
          <a:off x="10101263" y="40295513"/>
          <a:ext cx="63341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38100</xdr:colOff>
      <xdr:row>160</xdr:row>
      <xdr:rowOff>0</xdr:rowOff>
    </xdr:from>
    <xdr:to>
      <xdr:col>23</xdr:col>
      <xdr:colOff>204788</xdr:colOff>
      <xdr:row>161</xdr:row>
      <xdr:rowOff>228600</xdr:rowOff>
    </xdr:to>
    <xdr:cxnSp macro="">
      <xdr:nvCxnSpPr>
        <xdr:cNvPr id="8453146" name="AutoShape 11">
          <a:extLst>
            <a:ext uri="{FF2B5EF4-FFF2-40B4-BE49-F238E27FC236}">
              <a16:creationId xmlns:a16="http://schemas.microsoft.com/office/drawing/2014/main" id="{9955BD84-F751-47FD-9CA5-7B8313317CCF}"/>
            </a:ext>
          </a:extLst>
        </xdr:cNvPr>
        <xdr:cNvCxnSpPr>
          <a:cxnSpLocks noChangeShapeType="1"/>
          <a:stCxn id="7287008" idx="0"/>
          <a:endCxn id="7287011" idx="2"/>
        </xdr:cNvCxnSpPr>
      </xdr:nvCxnSpPr>
      <xdr:spPr bwMode="auto">
        <a:xfrm rot="-5400000">
          <a:off x="10167938" y="39566850"/>
          <a:ext cx="323850" cy="80962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192723</xdr:colOff>
      <xdr:row>164</xdr:row>
      <xdr:rowOff>147637</xdr:rowOff>
    </xdr:from>
    <xdr:to>
      <xdr:col>25</xdr:col>
      <xdr:colOff>9883</xdr:colOff>
      <xdr:row>166</xdr:row>
      <xdr:rowOff>146982</xdr:rowOff>
    </xdr:to>
    <xdr:sp macro="" textlink="">
      <xdr:nvSpPr>
        <xdr:cNvPr id="7287015" name="Oval 12">
          <a:extLst>
            <a:ext uri="{FF2B5EF4-FFF2-40B4-BE49-F238E27FC236}">
              <a16:creationId xmlns:a16="http://schemas.microsoft.com/office/drawing/2014/main" id="{0AD46F89-EB44-4449-88E9-407AD8A68975}"/>
            </a:ext>
          </a:extLst>
        </xdr:cNvPr>
        <xdr:cNvSpPr>
          <a:spLocks noChangeArrowheads="1"/>
        </xdr:cNvSpPr>
      </xdr:nvSpPr>
      <xdr:spPr bwMode="auto">
        <a:xfrm>
          <a:off x="11290300" y="40970200"/>
          <a:ext cx="2794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38100</xdr:colOff>
      <xdr:row>163</xdr:row>
      <xdr:rowOff>152400</xdr:rowOff>
    </xdr:from>
    <xdr:to>
      <xdr:col>23</xdr:col>
      <xdr:colOff>176213</xdr:colOff>
      <xdr:row>165</xdr:row>
      <xdr:rowOff>152400</xdr:rowOff>
    </xdr:to>
    <xdr:cxnSp macro="">
      <xdr:nvCxnSpPr>
        <xdr:cNvPr id="8453148" name="AutoShape 13">
          <a:extLst>
            <a:ext uri="{FF2B5EF4-FFF2-40B4-BE49-F238E27FC236}">
              <a16:creationId xmlns:a16="http://schemas.microsoft.com/office/drawing/2014/main" id="{0CC05B00-DA68-48E6-82B2-56741C30CFBB}"/>
            </a:ext>
          </a:extLst>
        </xdr:cNvPr>
        <xdr:cNvCxnSpPr>
          <a:cxnSpLocks noChangeShapeType="1"/>
          <a:stCxn id="7287008" idx="4"/>
          <a:endCxn id="7287015" idx="2"/>
        </xdr:cNvCxnSpPr>
      </xdr:nvCxnSpPr>
      <xdr:spPr bwMode="auto">
        <a:xfrm rot="16200000" flipH="1">
          <a:off x="10153650" y="40219313"/>
          <a:ext cx="323850" cy="781050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57151</xdr:colOff>
      <xdr:row>158</xdr:row>
      <xdr:rowOff>127633</xdr:rowOff>
    </xdr:from>
    <xdr:ext cx="303673" cy="170560"/>
    <xdr:sp macro="" textlink="">
      <xdr:nvSpPr>
        <xdr:cNvPr id="5134" name="Text Box 14">
          <a:extLst>
            <a:ext uri="{FF2B5EF4-FFF2-40B4-BE49-F238E27FC236}">
              <a16:creationId xmlns:a16="http://schemas.microsoft.com/office/drawing/2014/main" id="{3FF945A7-6113-478A-A954-87E22F0BE272}"/>
            </a:ext>
          </a:extLst>
        </xdr:cNvPr>
        <xdr:cNvSpPr txBox="1">
          <a:spLocks noChangeArrowheads="1"/>
        </xdr:cNvSpPr>
      </xdr:nvSpPr>
      <xdr:spPr bwMode="auto">
        <a:xfrm>
          <a:off x="10170460" y="3960035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3.2.1</a:t>
          </a:r>
        </a:p>
      </xdr:txBody>
    </xdr:sp>
    <xdr:clientData/>
  </xdr:oneCellAnchor>
  <xdr:oneCellAnchor>
    <xdr:from>
      <xdr:col>21</xdr:col>
      <xdr:colOff>58104</xdr:colOff>
      <xdr:row>162</xdr:row>
      <xdr:rowOff>13617</xdr:rowOff>
    </xdr:from>
    <xdr:ext cx="303673" cy="170560"/>
    <xdr:sp macro="" textlink="">
      <xdr:nvSpPr>
        <xdr:cNvPr id="5135" name="Text Box 15">
          <a:extLst>
            <a:ext uri="{FF2B5EF4-FFF2-40B4-BE49-F238E27FC236}">
              <a16:creationId xmlns:a16="http://schemas.microsoft.com/office/drawing/2014/main" id="{364D876B-4A86-41E6-8AD4-E200C980D3F2}"/>
            </a:ext>
          </a:extLst>
        </xdr:cNvPr>
        <xdr:cNvSpPr txBox="1">
          <a:spLocks noChangeArrowheads="1"/>
        </xdr:cNvSpPr>
      </xdr:nvSpPr>
      <xdr:spPr bwMode="auto">
        <a:xfrm>
          <a:off x="10171413" y="4013627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3.2.2</a:t>
          </a:r>
        </a:p>
      </xdr:txBody>
    </xdr:sp>
    <xdr:clientData/>
  </xdr:oneCellAnchor>
  <xdr:oneCellAnchor>
    <xdr:from>
      <xdr:col>21</xdr:col>
      <xdr:colOff>79058</xdr:colOff>
      <xdr:row>165</xdr:row>
      <xdr:rowOff>560</xdr:rowOff>
    </xdr:from>
    <xdr:ext cx="303673" cy="170560"/>
    <xdr:sp macro="" textlink="">
      <xdr:nvSpPr>
        <xdr:cNvPr id="5136" name="Text Box 16">
          <a:extLst>
            <a:ext uri="{FF2B5EF4-FFF2-40B4-BE49-F238E27FC236}">
              <a16:creationId xmlns:a16="http://schemas.microsoft.com/office/drawing/2014/main" id="{FEAE942D-D2B0-4DBA-8285-0C86BF440694}"/>
            </a:ext>
          </a:extLst>
        </xdr:cNvPr>
        <xdr:cNvSpPr txBox="1">
          <a:spLocks noChangeArrowheads="1"/>
        </xdr:cNvSpPr>
      </xdr:nvSpPr>
      <xdr:spPr bwMode="auto">
        <a:xfrm>
          <a:off x="10192367" y="4061067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3.2.3</a:t>
          </a:r>
        </a:p>
      </xdr:txBody>
    </xdr:sp>
    <xdr:clientData/>
  </xdr:oneCellAnchor>
  <xdr:twoCellAnchor>
    <xdr:from>
      <xdr:col>19</xdr:col>
      <xdr:colOff>205423</xdr:colOff>
      <xdr:row>168</xdr:row>
      <xdr:rowOff>67627</xdr:rowOff>
    </xdr:from>
    <xdr:to>
      <xdr:col>21</xdr:col>
      <xdr:colOff>475</xdr:colOff>
      <xdr:row>169</xdr:row>
      <xdr:rowOff>152733</xdr:rowOff>
    </xdr:to>
    <xdr:sp macro="" textlink="">
      <xdr:nvSpPr>
        <xdr:cNvPr id="7287020" name="Oval 17">
          <a:extLst>
            <a:ext uri="{FF2B5EF4-FFF2-40B4-BE49-F238E27FC236}">
              <a16:creationId xmlns:a16="http://schemas.microsoft.com/office/drawing/2014/main" id="{705DF3D3-C82A-484A-97F4-B269FF504BBC}"/>
            </a:ext>
          </a:extLst>
        </xdr:cNvPr>
        <xdr:cNvSpPr>
          <a:spLocks noChangeArrowheads="1"/>
        </xdr:cNvSpPr>
      </xdr:nvSpPr>
      <xdr:spPr bwMode="auto">
        <a:xfrm>
          <a:off x="10388600" y="415163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61913</xdr:colOff>
      <xdr:row>163</xdr:row>
      <xdr:rowOff>152400</xdr:rowOff>
    </xdr:from>
    <xdr:to>
      <xdr:col>19</xdr:col>
      <xdr:colOff>204788</xdr:colOff>
      <xdr:row>169</xdr:row>
      <xdr:rowOff>23813</xdr:rowOff>
    </xdr:to>
    <xdr:cxnSp macro="">
      <xdr:nvCxnSpPr>
        <xdr:cNvPr id="8453153" name="AutoShape 18">
          <a:extLst>
            <a:ext uri="{FF2B5EF4-FFF2-40B4-BE49-F238E27FC236}">
              <a16:creationId xmlns:a16="http://schemas.microsoft.com/office/drawing/2014/main" id="{92DF5DE1-AADB-4FBF-BA9B-BFBA22EAB117}"/>
            </a:ext>
          </a:extLst>
        </xdr:cNvPr>
        <xdr:cNvCxnSpPr>
          <a:cxnSpLocks noChangeShapeType="1"/>
          <a:stCxn id="7287005" idx="4"/>
          <a:endCxn id="7287020" idx="2"/>
        </xdr:cNvCxnSpPr>
      </xdr:nvCxnSpPr>
      <xdr:spPr bwMode="auto">
        <a:xfrm rot="16200000" flipH="1">
          <a:off x="9041607" y="40455056"/>
          <a:ext cx="842962" cy="82867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115887</xdr:colOff>
      <xdr:row>168</xdr:row>
      <xdr:rowOff>8535</xdr:rowOff>
    </xdr:from>
    <xdr:ext cx="303673" cy="170560"/>
    <xdr:sp macro="" textlink="">
      <xdr:nvSpPr>
        <xdr:cNvPr id="5139" name="Text Box 19">
          <a:extLst>
            <a:ext uri="{FF2B5EF4-FFF2-40B4-BE49-F238E27FC236}">
              <a16:creationId xmlns:a16="http://schemas.microsoft.com/office/drawing/2014/main" id="{55107BB4-E1B9-4A05-BFBF-0CA9F7716551}"/>
            </a:ext>
          </a:extLst>
        </xdr:cNvPr>
        <xdr:cNvSpPr txBox="1">
          <a:spLocks noChangeArrowheads="1"/>
        </xdr:cNvSpPr>
      </xdr:nvSpPr>
      <xdr:spPr bwMode="auto">
        <a:xfrm>
          <a:off x="9343932" y="4110610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3.3.1</a:t>
          </a:r>
        </a:p>
      </xdr:txBody>
    </xdr:sp>
    <xdr:clientData/>
  </xdr:oneCellAnchor>
  <xdr:twoCellAnchor>
    <xdr:from>
      <xdr:col>23</xdr:col>
      <xdr:colOff>192723</xdr:colOff>
      <xdr:row>168</xdr:row>
      <xdr:rowOff>67627</xdr:rowOff>
    </xdr:from>
    <xdr:to>
      <xdr:col>25</xdr:col>
      <xdr:colOff>9883</xdr:colOff>
      <xdr:row>169</xdr:row>
      <xdr:rowOff>152733</xdr:rowOff>
    </xdr:to>
    <xdr:sp macro="" textlink="">
      <xdr:nvSpPr>
        <xdr:cNvPr id="7287023" name="Oval 20">
          <a:extLst>
            <a:ext uri="{FF2B5EF4-FFF2-40B4-BE49-F238E27FC236}">
              <a16:creationId xmlns:a16="http://schemas.microsoft.com/office/drawing/2014/main" id="{E38F9DAB-1361-41BF-91D3-F27CBBA01E13}"/>
            </a:ext>
          </a:extLst>
        </xdr:cNvPr>
        <xdr:cNvSpPr>
          <a:spLocks noChangeArrowheads="1"/>
        </xdr:cNvSpPr>
      </xdr:nvSpPr>
      <xdr:spPr bwMode="auto">
        <a:xfrm>
          <a:off x="11290300" y="415163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271463</xdr:colOff>
      <xdr:row>169</xdr:row>
      <xdr:rowOff>23813</xdr:rowOff>
    </xdr:from>
    <xdr:to>
      <xdr:col>23</xdr:col>
      <xdr:colOff>176213</xdr:colOff>
      <xdr:row>169</xdr:row>
      <xdr:rowOff>23813</xdr:rowOff>
    </xdr:to>
    <xdr:cxnSp macro="">
      <xdr:nvCxnSpPr>
        <xdr:cNvPr id="8453156" name="AutoShape 21">
          <a:extLst>
            <a:ext uri="{FF2B5EF4-FFF2-40B4-BE49-F238E27FC236}">
              <a16:creationId xmlns:a16="http://schemas.microsoft.com/office/drawing/2014/main" id="{43B7E1C6-2FA4-402F-837C-B6BEF7D8697A}"/>
            </a:ext>
          </a:extLst>
        </xdr:cNvPr>
        <xdr:cNvCxnSpPr>
          <a:cxnSpLocks noChangeShapeType="1"/>
          <a:stCxn id="7287020" idx="6"/>
          <a:endCxn id="7287023" idx="2"/>
        </xdr:cNvCxnSpPr>
      </xdr:nvCxnSpPr>
      <xdr:spPr bwMode="auto">
        <a:xfrm>
          <a:off x="10101263" y="41290875"/>
          <a:ext cx="6048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154940</xdr:colOff>
      <xdr:row>168</xdr:row>
      <xdr:rowOff>243</xdr:rowOff>
    </xdr:from>
    <xdr:ext cx="303673" cy="170560"/>
    <xdr:sp macro="" textlink="">
      <xdr:nvSpPr>
        <xdr:cNvPr id="5142" name="Text Box 22">
          <a:extLst>
            <a:ext uri="{FF2B5EF4-FFF2-40B4-BE49-F238E27FC236}">
              <a16:creationId xmlns:a16="http://schemas.microsoft.com/office/drawing/2014/main" id="{E0685439-5754-4716-8F6E-9229C6288E51}"/>
            </a:ext>
          </a:extLst>
        </xdr:cNvPr>
        <xdr:cNvSpPr txBox="1">
          <a:spLocks noChangeArrowheads="1"/>
        </xdr:cNvSpPr>
      </xdr:nvSpPr>
      <xdr:spPr bwMode="auto">
        <a:xfrm>
          <a:off x="10268249" y="410978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3.3.2</a:t>
          </a:r>
        </a:p>
      </xdr:txBody>
    </xdr:sp>
    <xdr:clientData/>
  </xdr:oneCellAnchor>
  <xdr:twoCellAnchor>
    <xdr:from>
      <xdr:col>23</xdr:col>
      <xdr:colOff>192723</xdr:colOff>
      <xdr:row>171</xdr:row>
      <xdr:rowOff>1830</xdr:rowOff>
    </xdr:from>
    <xdr:to>
      <xdr:col>25</xdr:col>
      <xdr:colOff>9883</xdr:colOff>
      <xdr:row>172</xdr:row>
      <xdr:rowOff>97967</xdr:rowOff>
    </xdr:to>
    <xdr:sp macro="" textlink="">
      <xdr:nvSpPr>
        <xdr:cNvPr id="7287026" name="Oval 23">
          <a:extLst>
            <a:ext uri="{FF2B5EF4-FFF2-40B4-BE49-F238E27FC236}">
              <a16:creationId xmlns:a16="http://schemas.microsoft.com/office/drawing/2014/main" id="{B2005426-6302-46BA-9658-D47797FF5698}"/>
            </a:ext>
          </a:extLst>
        </xdr:cNvPr>
        <xdr:cNvSpPr>
          <a:spLocks noChangeArrowheads="1"/>
        </xdr:cNvSpPr>
      </xdr:nvSpPr>
      <xdr:spPr bwMode="auto">
        <a:xfrm>
          <a:off x="11290300" y="41935400"/>
          <a:ext cx="2794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61913</xdr:colOff>
      <xdr:row>169</xdr:row>
      <xdr:rowOff>228600</xdr:rowOff>
    </xdr:from>
    <xdr:to>
      <xdr:col>23</xdr:col>
      <xdr:colOff>176213</xdr:colOff>
      <xdr:row>171</xdr:row>
      <xdr:rowOff>152400</xdr:rowOff>
    </xdr:to>
    <xdr:cxnSp macro="">
      <xdr:nvCxnSpPr>
        <xdr:cNvPr id="8453159" name="AutoShape 24">
          <a:extLst>
            <a:ext uri="{FF2B5EF4-FFF2-40B4-BE49-F238E27FC236}">
              <a16:creationId xmlns:a16="http://schemas.microsoft.com/office/drawing/2014/main" id="{E428E97F-0A5C-4972-8AB2-6B647E0EDED6}"/>
            </a:ext>
          </a:extLst>
        </xdr:cNvPr>
        <xdr:cNvCxnSpPr>
          <a:cxnSpLocks noChangeShapeType="1"/>
          <a:stCxn id="7287020" idx="4"/>
          <a:endCxn id="7287026" idx="2"/>
        </xdr:cNvCxnSpPr>
      </xdr:nvCxnSpPr>
      <xdr:spPr bwMode="auto">
        <a:xfrm rot="16200000" flipH="1">
          <a:off x="10170319" y="41207532"/>
          <a:ext cx="314325" cy="757237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116523</xdr:colOff>
      <xdr:row>170</xdr:row>
      <xdr:rowOff>64770</xdr:rowOff>
    </xdr:from>
    <xdr:ext cx="303673" cy="170560"/>
    <xdr:sp macro="" textlink="">
      <xdr:nvSpPr>
        <xdr:cNvPr id="5145" name="Text Box 25">
          <a:extLst>
            <a:ext uri="{FF2B5EF4-FFF2-40B4-BE49-F238E27FC236}">
              <a16:creationId xmlns:a16="http://schemas.microsoft.com/office/drawing/2014/main" id="{077A2973-79D6-414C-A82A-2D683B7080B7}"/>
            </a:ext>
          </a:extLst>
        </xdr:cNvPr>
        <xdr:cNvSpPr txBox="1">
          <a:spLocks noChangeArrowheads="1"/>
        </xdr:cNvSpPr>
      </xdr:nvSpPr>
      <xdr:spPr bwMode="auto">
        <a:xfrm>
          <a:off x="10229832" y="4148731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3.3.3</a:t>
          </a:r>
        </a:p>
      </xdr:txBody>
    </xdr:sp>
    <xdr:clientData/>
  </xdr:oneCellAnchor>
  <xdr:twoCellAnchor>
    <xdr:from>
      <xdr:col>16</xdr:col>
      <xdr:colOff>5173</xdr:colOff>
      <xdr:row>154</xdr:row>
      <xdr:rowOff>24130</xdr:rowOff>
    </xdr:from>
    <xdr:to>
      <xdr:col>17</xdr:col>
      <xdr:colOff>460</xdr:colOff>
      <xdr:row>155</xdr:row>
      <xdr:rowOff>152592</xdr:rowOff>
    </xdr:to>
    <xdr:sp macro="" textlink="">
      <xdr:nvSpPr>
        <xdr:cNvPr id="7287029" name="Oval 26">
          <a:extLst>
            <a:ext uri="{FF2B5EF4-FFF2-40B4-BE49-F238E27FC236}">
              <a16:creationId xmlns:a16="http://schemas.microsoft.com/office/drawing/2014/main" id="{34F16250-EE9B-4C1B-8BF6-EA05D67ADD22}"/>
            </a:ext>
          </a:extLst>
        </xdr:cNvPr>
        <xdr:cNvSpPr>
          <a:spLocks noChangeArrowheads="1"/>
        </xdr:cNvSpPr>
      </xdr:nvSpPr>
      <xdr:spPr bwMode="auto">
        <a:xfrm>
          <a:off x="9423400" y="391795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101918</xdr:colOff>
      <xdr:row>154</xdr:row>
      <xdr:rowOff>24130</xdr:rowOff>
    </xdr:from>
    <xdr:to>
      <xdr:col>20</xdr:col>
      <xdr:colOff>174627</xdr:colOff>
      <xdr:row>155</xdr:row>
      <xdr:rowOff>152592</xdr:rowOff>
    </xdr:to>
    <xdr:sp macro="" textlink="">
      <xdr:nvSpPr>
        <xdr:cNvPr id="7287030" name="Oval 27">
          <a:extLst>
            <a:ext uri="{FF2B5EF4-FFF2-40B4-BE49-F238E27FC236}">
              <a16:creationId xmlns:a16="http://schemas.microsoft.com/office/drawing/2014/main" id="{88DD20F6-DF09-4594-8AC7-4A8EEF6E6819}"/>
            </a:ext>
          </a:extLst>
        </xdr:cNvPr>
        <xdr:cNvSpPr>
          <a:spLocks noChangeArrowheads="1"/>
        </xdr:cNvSpPr>
      </xdr:nvSpPr>
      <xdr:spPr bwMode="auto">
        <a:xfrm>
          <a:off x="10325100" y="391795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285750</xdr:colOff>
      <xdr:row>154</xdr:row>
      <xdr:rowOff>228600</xdr:rowOff>
    </xdr:from>
    <xdr:to>
      <xdr:col>19</xdr:col>
      <xdr:colOff>109538</xdr:colOff>
      <xdr:row>154</xdr:row>
      <xdr:rowOff>228600</xdr:rowOff>
    </xdr:to>
    <xdr:cxnSp macro="">
      <xdr:nvCxnSpPr>
        <xdr:cNvPr id="8453163" name="AutoShape 28">
          <a:extLst>
            <a:ext uri="{FF2B5EF4-FFF2-40B4-BE49-F238E27FC236}">
              <a16:creationId xmlns:a16="http://schemas.microsoft.com/office/drawing/2014/main" id="{AF2F0F72-DB6F-4E4F-B739-17CF0D04E561}"/>
            </a:ext>
          </a:extLst>
        </xdr:cNvPr>
        <xdr:cNvCxnSpPr>
          <a:cxnSpLocks noChangeShapeType="1"/>
          <a:stCxn id="7287029" idx="6"/>
          <a:endCxn id="7287030" idx="2"/>
        </xdr:cNvCxnSpPr>
      </xdr:nvCxnSpPr>
      <xdr:spPr bwMode="auto">
        <a:xfrm>
          <a:off x="9215438" y="39000113"/>
          <a:ext cx="5667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197168</xdr:colOff>
      <xdr:row>153</xdr:row>
      <xdr:rowOff>0</xdr:rowOff>
    </xdr:from>
    <xdr:ext cx="303673" cy="170560"/>
    <xdr:sp macro="" textlink="">
      <xdr:nvSpPr>
        <xdr:cNvPr id="5149" name="Text Box 29">
          <a:extLst>
            <a:ext uri="{FF2B5EF4-FFF2-40B4-BE49-F238E27FC236}">
              <a16:creationId xmlns:a16="http://schemas.microsoft.com/office/drawing/2014/main" id="{B9D93D07-214C-4B9F-BD50-DEA3538CCBEE}"/>
            </a:ext>
          </a:extLst>
        </xdr:cNvPr>
        <xdr:cNvSpPr txBox="1">
          <a:spLocks noChangeArrowheads="1"/>
        </xdr:cNvSpPr>
      </xdr:nvSpPr>
      <xdr:spPr bwMode="auto">
        <a:xfrm>
          <a:off x="9425213" y="3866029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2.2.1</a:t>
          </a:r>
        </a:p>
      </xdr:txBody>
    </xdr:sp>
    <xdr:clientData/>
  </xdr:oneCellAnchor>
  <xdr:twoCellAnchor>
    <xdr:from>
      <xdr:col>23</xdr:col>
      <xdr:colOff>135573</xdr:colOff>
      <xdr:row>152</xdr:row>
      <xdr:rowOff>0</xdr:rowOff>
    </xdr:from>
    <xdr:to>
      <xdr:col>24</xdr:col>
      <xdr:colOff>178409</xdr:colOff>
      <xdr:row>153</xdr:row>
      <xdr:rowOff>143992</xdr:rowOff>
    </xdr:to>
    <xdr:sp macro="" textlink="">
      <xdr:nvSpPr>
        <xdr:cNvPr id="7287033" name="Oval 30">
          <a:extLst>
            <a:ext uri="{FF2B5EF4-FFF2-40B4-BE49-F238E27FC236}">
              <a16:creationId xmlns:a16="http://schemas.microsoft.com/office/drawing/2014/main" id="{B43BCC7F-5C68-45D1-855F-A5A6361CBC75}"/>
            </a:ext>
          </a:extLst>
        </xdr:cNvPr>
        <xdr:cNvSpPr>
          <a:spLocks noChangeArrowheads="1"/>
        </xdr:cNvSpPr>
      </xdr:nvSpPr>
      <xdr:spPr bwMode="auto">
        <a:xfrm>
          <a:off x="11252200" y="388366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323850</xdr:colOff>
      <xdr:row>152</xdr:row>
      <xdr:rowOff>204788</xdr:rowOff>
    </xdr:from>
    <xdr:to>
      <xdr:col>23</xdr:col>
      <xdr:colOff>128588</xdr:colOff>
      <xdr:row>154</xdr:row>
      <xdr:rowOff>23813</xdr:rowOff>
    </xdr:to>
    <xdr:cxnSp macro="">
      <xdr:nvCxnSpPr>
        <xdr:cNvPr id="8453166" name="AutoShape 31">
          <a:extLst>
            <a:ext uri="{FF2B5EF4-FFF2-40B4-BE49-F238E27FC236}">
              <a16:creationId xmlns:a16="http://schemas.microsoft.com/office/drawing/2014/main" id="{0CE76509-3F25-4C5B-B244-718C79264DC9}"/>
            </a:ext>
          </a:extLst>
        </xdr:cNvPr>
        <xdr:cNvCxnSpPr>
          <a:cxnSpLocks noChangeShapeType="1"/>
          <a:stCxn id="7287030" idx="0"/>
          <a:endCxn id="7287033" idx="2"/>
        </xdr:cNvCxnSpPr>
      </xdr:nvCxnSpPr>
      <xdr:spPr bwMode="auto">
        <a:xfrm rot="-5400000">
          <a:off x="10179844" y="38383369"/>
          <a:ext cx="185737" cy="77152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20</xdr:col>
      <xdr:colOff>193993</xdr:colOff>
      <xdr:row>151</xdr:row>
      <xdr:rowOff>0</xdr:rowOff>
    </xdr:from>
    <xdr:ext cx="303673" cy="170560"/>
    <xdr:sp macro="" textlink="">
      <xdr:nvSpPr>
        <xdr:cNvPr id="5152" name="Text Box 32">
          <a:extLst>
            <a:ext uri="{FF2B5EF4-FFF2-40B4-BE49-F238E27FC236}">
              <a16:creationId xmlns:a16="http://schemas.microsoft.com/office/drawing/2014/main" id="{D227C9CB-A282-471E-AB95-0E363CAD78C4}"/>
            </a:ext>
          </a:extLst>
        </xdr:cNvPr>
        <xdr:cNvSpPr txBox="1">
          <a:spLocks noChangeArrowheads="1"/>
        </xdr:cNvSpPr>
      </xdr:nvSpPr>
      <xdr:spPr bwMode="auto">
        <a:xfrm>
          <a:off x="10094391" y="3833532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2.2.2</a:t>
          </a:r>
        </a:p>
      </xdr:txBody>
    </xdr:sp>
    <xdr:clientData/>
  </xdr:oneCellAnchor>
  <xdr:twoCellAnchor>
    <xdr:from>
      <xdr:col>23</xdr:col>
      <xdr:colOff>135573</xdr:colOff>
      <xdr:row>156</xdr:row>
      <xdr:rowOff>55245</xdr:rowOff>
    </xdr:from>
    <xdr:to>
      <xdr:col>24</xdr:col>
      <xdr:colOff>178409</xdr:colOff>
      <xdr:row>157</xdr:row>
      <xdr:rowOff>160290</xdr:rowOff>
    </xdr:to>
    <xdr:sp macro="" textlink="">
      <xdr:nvSpPr>
        <xdr:cNvPr id="7287036" name="Oval 33">
          <a:extLst>
            <a:ext uri="{FF2B5EF4-FFF2-40B4-BE49-F238E27FC236}">
              <a16:creationId xmlns:a16="http://schemas.microsoft.com/office/drawing/2014/main" id="{B301FEDF-803F-4D33-B54B-92CAF3A1FC22}"/>
            </a:ext>
          </a:extLst>
        </xdr:cNvPr>
        <xdr:cNvSpPr>
          <a:spLocks noChangeArrowheads="1"/>
        </xdr:cNvSpPr>
      </xdr:nvSpPr>
      <xdr:spPr bwMode="auto">
        <a:xfrm>
          <a:off x="11252200" y="395351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323850</xdr:colOff>
      <xdr:row>155</xdr:row>
      <xdr:rowOff>152400</xdr:rowOff>
    </xdr:from>
    <xdr:to>
      <xdr:col>23</xdr:col>
      <xdr:colOff>128588</xdr:colOff>
      <xdr:row>157</xdr:row>
      <xdr:rowOff>23813</xdr:rowOff>
    </xdr:to>
    <xdr:cxnSp macro="">
      <xdr:nvCxnSpPr>
        <xdr:cNvPr id="8453169" name="AutoShape 34">
          <a:extLst>
            <a:ext uri="{FF2B5EF4-FFF2-40B4-BE49-F238E27FC236}">
              <a16:creationId xmlns:a16="http://schemas.microsoft.com/office/drawing/2014/main" id="{24D2214E-D3DA-4502-8B19-CA7BD2314116}"/>
            </a:ext>
          </a:extLst>
        </xdr:cNvPr>
        <xdr:cNvCxnSpPr>
          <a:cxnSpLocks noChangeShapeType="1"/>
          <a:stCxn id="7287030" idx="4"/>
          <a:endCxn id="7287036" idx="2"/>
        </xdr:cNvCxnSpPr>
      </xdr:nvCxnSpPr>
      <xdr:spPr bwMode="auto">
        <a:xfrm rot="16200000" flipH="1">
          <a:off x="10175082" y="38864381"/>
          <a:ext cx="195262" cy="77152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0</xdr:colOff>
      <xdr:row>155</xdr:row>
      <xdr:rowOff>151129</xdr:rowOff>
    </xdr:from>
    <xdr:ext cx="303673" cy="170560"/>
    <xdr:sp macro="" textlink="">
      <xdr:nvSpPr>
        <xdr:cNvPr id="5155" name="Text Box 35">
          <a:extLst>
            <a:ext uri="{FF2B5EF4-FFF2-40B4-BE49-F238E27FC236}">
              <a16:creationId xmlns:a16="http://schemas.microsoft.com/office/drawing/2014/main" id="{5AF8AA95-4093-47E6-BDE0-4C60C3C6CEE2}"/>
            </a:ext>
          </a:extLst>
        </xdr:cNvPr>
        <xdr:cNvSpPr txBox="1">
          <a:spLocks noChangeArrowheads="1"/>
        </xdr:cNvSpPr>
      </xdr:nvSpPr>
      <xdr:spPr bwMode="auto">
        <a:xfrm>
          <a:off x="10113309" y="3913639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2.2.3</a:t>
          </a:r>
        </a:p>
      </xdr:txBody>
    </xdr:sp>
    <xdr:clientData/>
  </xdr:oneCellAnchor>
  <xdr:twoCellAnchor>
    <xdr:from>
      <xdr:col>12</xdr:col>
      <xdr:colOff>728</xdr:colOff>
      <xdr:row>154</xdr:row>
      <xdr:rowOff>24130</xdr:rowOff>
    </xdr:from>
    <xdr:to>
      <xdr:col>13</xdr:col>
      <xdr:colOff>2882</xdr:colOff>
      <xdr:row>155</xdr:row>
      <xdr:rowOff>152592</xdr:rowOff>
    </xdr:to>
    <xdr:sp macro="" textlink="">
      <xdr:nvSpPr>
        <xdr:cNvPr id="7287039" name="Oval 36">
          <a:extLst>
            <a:ext uri="{FF2B5EF4-FFF2-40B4-BE49-F238E27FC236}">
              <a16:creationId xmlns:a16="http://schemas.microsoft.com/office/drawing/2014/main" id="{CF23E5A0-DB86-4ABE-A1D8-C33BC7656B9E}"/>
            </a:ext>
          </a:extLst>
        </xdr:cNvPr>
        <xdr:cNvSpPr>
          <a:spLocks noChangeArrowheads="1"/>
        </xdr:cNvSpPr>
      </xdr:nvSpPr>
      <xdr:spPr bwMode="auto">
        <a:xfrm>
          <a:off x="8585200" y="391795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7</xdr:col>
      <xdr:colOff>165417</xdr:colOff>
      <xdr:row>154</xdr:row>
      <xdr:rowOff>24130</xdr:rowOff>
    </xdr:from>
    <xdr:to>
      <xdr:col>9</xdr:col>
      <xdr:colOff>6856</xdr:colOff>
      <xdr:row>155</xdr:row>
      <xdr:rowOff>152592</xdr:rowOff>
    </xdr:to>
    <xdr:sp macro="" textlink="">
      <xdr:nvSpPr>
        <xdr:cNvPr id="7287040" name="Oval 37">
          <a:extLst>
            <a:ext uri="{FF2B5EF4-FFF2-40B4-BE49-F238E27FC236}">
              <a16:creationId xmlns:a16="http://schemas.microsoft.com/office/drawing/2014/main" id="{27B40E00-738A-4E4C-B1F5-B46453E532DB}"/>
            </a:ext>
          </a:extLst>
        </xdr:cNvPr>
        <xdr:cNvSpPr>
          <a:spLocks noChangeArrowheads="1"/>
        </xdr:cNvSpPr>
      </xdr:nvSpPr>
      <xdr:spPr bwMode="auto">
        <a:xfrm>
          <a:off x="7759700" y="391795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238125</xdr:colOff>
      <xdr:row>154</xdr:row>
      <xdr:rowOff>228600</xdr:rowOff>
    </xdr:from>
    <xdr:to>
      <xdr:col>11</xdr:col>
      <xdr:colOff>190500</xdr:colOff>
      <xdr:row>154</xdr:row>
      <xdr:rowOff>228600</xdr:rowOff>
    </xdr:to>
    <xdr:cxnSp macro="">
      <xdr:nvCxnSpPr>
        <xdr:cNvPr id="8453173" name="AutoShape 38">
          <a:extLst>
            <a:ext uri="{FF2B5EF4-FFF2-40B4-BE49-F238E27FC236}">
              <a16:creationId xmlns:a16="http://schemas.microsoft.com/office/drawing/2014/main" id="{EE23ED58-E322-435F-8D75-52485130732B}"/>
            </a:ext>
          </a:extLst>
        </xdr:cNvPr>
        <xdr:cNvCxnSpPr>
          <a:cxnSpLocks noChangeShapeType="1"/>
          <a:stCxn id="7287040" idx="6"/>
          <a:endCxn id="7287039" idx="2"/>
        </xdr:cNvCxnSpPr>
      </xdr:nvCxnSpPr>
      <xdr:spPr bwMode="auto">
        <a:xfrm>
          <a:off x="7586663" y="39000113"/>
          <a:ext cx="5905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119380</xdr:colOff>
      <xdr:row>153</xdr:row>
      <xdr:rowOff>144462</xdr:rowOff>
    </xdr:from>
    <xdr:ext cx="303673" cy="170560"/>
    <xdr:sp macro="" textlink="">
      <xdr:nvSpPr>
        <xdr:cNvPr id="5159" name="Text Box 39">
          <a:extLst>
            <a:ext uri="{FF2B5EF4-FFF2-40B4-BE49-F238E27FC236}">
              <a16:creationId xmlns:a16="http://schemas.microsoft.com/office/drawing/2014/main" id="{357B04F8-3E3A-4791-ABAE-7ECE79F469AA}"/>
            </a:ext>
          </a:extLst>
        </xdr:cNvPr>
        <xdr:cNvSpPr txBox="1">
          <a:spLocks noChangeArrowheads="1"/>
        </xdr:cNvSpPr>
      </xdr:nvSpPr>
      <xdr:spPr bwMode="auto">
        <a:xfrm>
          <a:off x="7705762" y="38804756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2.1.1</a:t>
          </a:r>
        </a:p>
      </xdr:txBody>
    </xdr:sp>
    <xdr:clientData/>
  </xdr:oneCellAnchor>
  <xdr:twoCellAnchor>
    <xdr:from>
      <xdr:col>12</xdr:col>
      <xdr:colOff>261938</xdr:colOff>
      <xdr:row>154</xdr:row>
      <xdr:rowOff>228600</xdr:rowOff>
    </xdr:from>
    <xdr:to>
      <xdr:col>15</xdr:col>
      <xdr:colOff>214313</xdr:colOff>
      <xdr:row>154</xdr:row>
      <xdr:rowOff>228600</xdr:rowOff>
    </xdr:to>
    <xdr:cxnSp macro="">
      <xdr:nvCxnSpPr>
        <xdr:cNvPr id="8453175" name="AutoShape 40">
          <a:extLst>
            <a:ext uri="{FF2B5EF4-FFF2-40B4-BE49-F238E27FC236}">
              <a16:creationId xmlns:a16="http://schemas.microsoft.com/office/drawing/2014/main" id="{AFB8CA6A-49CD-4885-B502-2B043F9C87E1}"/>
            </a:ext>
          </a:extLst>
        </xdr:cNvPr>
        <xdr:cNvCxnSpPr>
          <a:cxnSpLocks noChangeShapeType="1"/>
          <a:stCxn id="7287039" idx="6"/>
          <a:endCxn id="7287029" idx="2"/>
        </xdr:cNvCxnSpPr>
      </xdr:nvCxnSpPr>
      <xdr:spPr bwMode="auto">
        <a:xfrm>
          <a:off x="8386763" y="39000113"/>
          <a:ext cx="6000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68581</xdr:colOff>
      <xdr:row>154</xdr:row>
      <xdr:rowOff>16753</xdr:rowOff>
    </xdr:from>
    <xdr:ext cx="303673" cy="170560"/>
    <xdr:sp macro="" textlink="">
      <xdr:nvSpPr>
        <xdr:cNvPr id="5161" name="Text Box 41">
          <a:extLst>
            <a:ext uri="{FF2B5EF4-FFF2-40B4-BE49-F238E27FC236}">
              <a16:creationId xmlns:a16="http://schemas.microsoft.com/office/drawing/2014/main" id="{73A00009-4AA0-4385-8CCC-A5DB571BFFFA}"/>
            </a:ext>
          </a:extLst>
        </xdr:cNvPr>
        <xdr:cNvSpPr txBox="1">
          <a:spLocks noChangeArrowheads="1"/>
        </xdr:cNvSpPr>
      </xdr:nvSpPr>
      <xdr:spPr bwMode="auto">
        <a:xfrm>
          <a:off x="8461787" y="38839533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2.1.2</a:t>
          </a:r>
        </a:p>
      </xdr:txBody>
    </xdr:sp>
    <xdr:clientData/>
  </xdr:oneCellAnchor>
  <xdr:twoCellAnchor>
    <xdr:from>
      <xdr:col>16</xdr:col>
      <xdr:colOff>61913</xdr:colOff>
      <xdr:row>155</xdr:row>
      <xdr:rowOff>152400</xdr:rowOff>
    </xdr:from>
    <xdr:to>
      <xdr:col>16</xdr:col>
      <xdr:colOff>61913</xdr:colOff>
      <xdr:row>161</xdr:row>
      <xdr:rowOff>228600</xdr:rowOff>
    </xdr:to>
    <xdr:cxnSp macro="">
      <xdr:nvCxnSpPr>
        <xdr:cNvPr id="8453177" name="AutoShape 42">
          <a:extLst>
            <a:ext uri="{FF2B5EF4-FFF2-40B4-BE49-F238E27FC236}">
              <a16:creationId xmlns:a16="http://schemas.microsoft.com/office/drawing/2014/main" id="{3ED4AAE4-FF84-41F6-8C6C-FDD10ED46F3F}"/>
            </a:ext>
          </a:extLst>
        </xdr:cNvPr>
        <xdr:cNvCxnSpPr>
          <a:cxnSpLocks noChangeShapeType="1"/>
          <a:stCxn id="7287029" idx="4"/>
          <a:endCxn id="7287005" idx="0"/>
        </xdr:cNvCxnSpPr>
      </xdr:nvCxnSpPr>
      <xdr:spPr bwMode="auto">
        <a:xfrm rot="5400000">
          <a:off x="8558212" y="39643051"/>
          <a:ext cx="981075" cy="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28</xdr:col>
      <xdr:colOff>9469</xdr:colOff>
      <xdr:row>101</xdr:row>
      <xdr:rowOff>148907</xdr:rowOff>
    </xdr:from>
    <xdr:to>
      <xdr:col>29</xdr:col>
      <xdr:colOff>3990</xdr:colOff>
      <xdr:row>103</xdr:row>
      <xdr:rowOff>38878</xdr:rowOff>
    </xdr:to>
    <xdr:sp macro="" textlink="">
      <xdr:nvSpPr>
        <xdr:cNvPr id="7287046" name="Oval 43">
          <a:extLst>
            <a:ext uri="{FF2B5EF4-FFF2-40B4-BE49-F238E27FC236}">
              <a16:creationId xmlns:a16="http://schemas.microsoft.com/office/drawing/2014/main" id="{53C325B0-470D-4866-A978-EB44810A2290}"/>
            </a:ext>
          </a:extLst>
        </xdr:cNvPr>
        <xdr:cNvSpPr>
          <a:spLocks noChangeArrowheads="1"/>
        </xdr:cNvSpPr>
      </xdr:nvSpPr>
      <xdr:spPr bwMode="auto">
        <a:xfrm>
          <a:off x="12268200" y="305054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101</xdr:row>
      <xdr:rowOff>148907</xdr:rowOff>
    </xdr:from>
    <xdr:to>
      <xdr:col>25</xdr:col>
      <xdr:colOff>755</xdr:colOff>
      <xdr:row>103</xdr:row>
      <xdr:rowOff>38878</xdr:rowOff>
    </xdr:to>
    <xdr:sp macro="" textlink="">
      <xdr:nvSpPr>
        <xdr:cNvPr id="7287047" name="Oval 44">
          <a:extLst>
            <a:ext uri="{FF2B5EF4-FFF2-40B4-BE49-F238E27FC236}">
              <a16:creationId xmlns:a16="http://schemas.microsoft.com/office/drawing/2014/main" id="{F1088533-BE37-474F-A270-74B840777A31}"/>
            </a:ext>
          </a:extLst>
        </xdr:cNvPr>
        <xdr:cNvSpPr>
          <a:spLocks noChangeArrowheads="1"/>
        </xdr:cNvSpPr>
      </xdr:nvSpPr>
      <xdr:spPr bwMode="auto">
        <a:xfrm>
          <a:off x="11353800" y="305054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102</xdr:row>
      <xdr:rowOff>95250</xdr:rowOff>
    </xdr:from>
    <xdr:to>
      <xdr:col>27</xdr:col>
      <xdr:colOff>271463</xdr:colOff>
      <xdr:row>102</xdr:row>
      <xdr:rowOff>95250</xdr:rowOff>
    </xdr:to>
    <xdr:cxnSp macro="">
      <xdr:nvCxnSpPr>
        <xdr:cNvPr id="8453180" name="AutoShape 45">
          <a:extLst>
            <a:ext uri="{FF2B5EF4-FFF2-40B4-BE49-F238E27FC236}">
              <a16:creationId xmlns:a16="http://schemas.microsoft.com/office/drawing/2014/main" id="{50031521-1625-4B73-ACB1-6B58C5B69DDD}"/>
            </a:ext>
          </a:extLst>
        </xdr:cNvPr>
        <xdr:cNvCxnSpPr>
          <a:cxnSpLocks noChangeShapeType="1"/>
          <a:stCxn id="7287047" idx="6"/>
          <a:endCxn id="7287046" idx="2"/>
        </xdr:cNvCxnSpPr>
      </xdr:nvCxnSpPr>
      <xdr:spPr bwMode="auto">
        <a:xfrm>
          <a:off x="10958513" y="30513338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26</xdr:col>
      <xdr:colOff>2166</xdr:colOff>
      <xdr:row>100</xdr:row>
      <xdr:rowOff>150495</xdr:rowOff>
    </xdr:from>
    <xdr:ext cx="303673" cy="170560"/>
    <xdr:sp macro="" textlink="">
      <xdr:nvSpPr>
        <xdr:cNvPr id="5166" name="Text Box 46">
          <a:extLst>
            <a:ext uri="{FF2B5EF4-FFF2-40B4-BE49-F238E27FC236}">
              <a16:creationId xmlns:a16="http://schemas.microsoft.com/office/drawing/2014/main" id="{681ADC72-EE02-4D33-B6D0-EB8351AED2C3}"/>
            </a:ext>
          </a:extLst>
        </xdr:cNvPr>
        <xdr:cNvSpPr txBox="1">
          <a:spLocks noChangeArrowheads="1"/>
        </xdr:cNvSpPr>
      </xdr:nvSpPr>
      <xdr:spPr bwMode="auto">
        <a:xfrm>
          <a:off x="11180034" y="3019906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1.1.1</a:t>
          </a:r>
        </a:p>
      </xdr:txBody>
    </xdr:sp>
    <xdr:clientData/>
  </xdr:oneCellAnchor>
  <xdr:twoCellAnchor>
    <xdr:from>
      <xdr:col>28</xdr:col>
      <xdr:colOff>9469</xdr:colOff>
      <xdr:row>105</xdr:row>
      <xdr:rowOff>55245</xdr:rowOff>
    </xdr:from>
    <xdr:to>
      <xdr:col>29</xdr:col>
      <xdr:colOff>3990</xdr:colOff>
      <xdr:row>106</xdr:row>
      <xdr:rowOff>165053</xdr:rowOff>
    </xdr:to>
    <xdr:sp macro="" textlink="">
      <xdr:nvSpPr>
        <xdr:cNvPr id="7287050" name="Oval 47">
          <a:extLst>
            <a:ext uri="{FF2B5EF4-FFF2-40B4-BE49-F238E27FC236}">
              <a16:creationId xmlns:a16="http://schemas.microsoft.com/office/drawing/2014/main" id="{C6A55E88-4184-4FA8-BB16-84D210414686}"/>
            </a:ext>
          </a:extLst>
        </xdr:cNvPr>
        <xdr:cNvSpPr>
          <a:spLocks noChangeArrowheads="1"/>
        </xdr:cNvSpPr>
      </xdr:nvSpPr>
      <xdr:spPr bwMode="auto">
        <a:xfrm>
          <a:off x="12268200" y="311150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105</xdr:row>
      <xdr:rowOff>55245</xdr:rowOff>
    </xdr:from>
    <xdr:to>
      <xdr:col>25</xdr:col>
      <xdr:colOff>755</xdr:colOff>
      <xdr:row>106</xdr:row>
      <xdr:rowOff>165053</xdr:rowOff>
    </xdr:to>
    <xdr:sp macro="" textlink="">
      <xdr:nvSpPr>
        <xdr:cNvPr id="7287051" name="Oval 48">
          <a:extLst>
            <a:ext uri="{FF2B5EF4-FFF2-40B4-BE49-F238E27FC236}">
              <a16:creationId xmlns:a16="http://schemas.microsoft.com/office/drawing/2014/main" id="{50847392-C2F7-43C7-9AAB-D35E6F555860}"/>
            </a:ext>
          </a:extLst>
        </xdr:cNvPr>
        <xdr:cNvSpPr>
          <a:spLocks noChangeArrowheads="1"/>
        </xdr:cNvSpPr>
      </xdr:nvSpPr>
      <xdr:spPr bwMode="auto">
        <a:xfrm>
          <a:off x="11353800" y="311150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106</xdr:row>
      <xdr:rowOff>23813</xdr:rowOff>
    </xdr:from>
    <xdr:to>
      <xdr:col>27</xdr:col>
      <xdr:colOff>271463</xdr:colOff>
      <xdr:row>106</xdr:row>
      <xdr:rowOff>23813</xdr:rowOff>
    </xdr:to>
    <xdr:cxnSp macro="">
      <xdr:nvCxnSpPr>
        <xdr:cNvPr id="8453184" name="AutoShape 49">
          <a:extLst>
            <a:ext uri="{FF2B5EF4-FFF2-40B4-BE49-F238E27FC236}">
              <a16:creationId xmlns:a16="http://schemas.microsoft.com/office/drawing/2014/main" id="{AFAE3912-9BCE-43E2-834D-3C83B3B2CF79}"/>
            </a:ext>
          </a:extLst>
        </xdr:cNvPr>
        <xdr:cNvCxnSpPr>
          <a:cxnSpLocks noChangeShapeType="1"/>
          <a:stCxn id="7287051" idx="6"/>
          <a:endCxn id="7287050" idx="2"/>
        </xdr:cNvCxnSpPr>
      </xdr:nvCxnSpPr>
      <xdr:spPr bwMode="auto">
        <a:xfrm>
          <a:off x="10958513" y="31089600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206693</xdr:colOff>
      <xdr:row>104</xdr:row>
      <xdr:rowOff>151129</xdr:rowOff>
    </xdr:from>
    <xdr:ext cx="303673" cy="170560"/>
    <xdr:sp macro="" textlink="">
      <xdr:nvSpPr>
        <xdr:cNvPr id="5170" name="Text Box 50">
          <a:extLst>
            <a:ext uri="{FF2B5EF4-FFF2-40B4-BE49-F238E27FC236}">
              <a16:creationId xmlns:a16="http://schemas.microsoft.com/office/drawing/2014/main" id="{53FFF815-D483-454A-A393-0D8FDE261F7A}"/>
            </a:ext>
          </a:extLst>
        </xdr:cNvPr>
        <xdr:cNvSpPr txBox="1">
          <a:spLocks noChangeArrowheads="1"/>
        </xdr:cNvSpPr>
      </xdr:nvSpPr>
      <xdr:spPr bwMode="auto">
        <a:xfrm>
          <a:off x="11171649" y="3084964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1.1.2</a:t>
          </a:r>
        </a:p>
      </xdr:txBody>
    </xdr:sp>
    <xdr:clientData/>
  </xdr:oneCellAnchor>
  <xdr:twoCellAnchor>
    <xdr:from>
      <xdr:col>28</xdr:col>
      <xdr:colOff>9469</xdr:colOff>
      <xdr:row>109</xdr:row>
      <xdr:rowOff>25083</xdr:rowOff>
    </xdr:from>
    <xdr:to>
      <xdr:col>29</xdr:col>
      <xdr:colOff>3990</xdr:colOff>
      <xdr:row>111</xdr:row>
      <xdr:rowOff>15808</xdr:rowOff>
    </xdr:to>
    <xdr:sp macro="" textlink="">
      <xdr:nvSpPr>
        <xdr:cNvPr id="7287054" name="Oval 51">
          <a:extLst>
            <a:ext uri="{FF2B5EF4-FFF2-40B4-BE49-F238E27FC236}">
              <a16:creationId xmlns:a16="http://schemas.microsoft.com/office/drawing/2014/main" id="{CEA1B79E-85FC-40AA-9797-AD8F146153A6}"/>
            </a:ext>
          </a:extLst>
        </xdr:cNvPr>
        <xdr:cNvSpPr>
          <a:spLocks noChangeArrowheads="1"/>
        </xdr:cNvSpPr>
      </xdr:nvSpPr>
      <xdr:spPr bwMode="auto">
        <a:xfrm>
          <a:off x="12268200" y="317500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109</xdr:row>
      <xdr:rowOff>25083</xdr:rowOff>
    </xdr:from>
    <xdr:to>
      <xdr:col>25</xdr:col>
      <xdr:colOff>755</xdr:colOff>
      <xdr:row>111</xdr:row>
      <xdr:rowOff>15808</xdr:rowOff>
    </xdr:to>
    <xdr:sp macro="" textlink="">
      <xdr:nvSpPr>
        <xdr:cNvPr id="7287055" name="Oval 52">
          <a:extLst>
            <a:ext uri="{FF2B5EF4-FFF2-40B4-BE49-F238E27FC236}">
              <a16:creationId xmlns:a16="http://schemas.microsoft.com/office/drawing/2014/main" id="{3E8BA43E-8EC8-4E4A-8504-E13445781DFF}"/>
            </a:ext>
          </a:extLst>
        </xdr:cNvPr>
        <xdr:cNvSpPr>
          <a:spLocks noChangeArrowheads="1"/>
        </xdr:cNvSpPr>
      </xdr:nvSpPr>
      <xdr:spPr bwMode="auto">
        <a:xfrm>
          <a:off x="11353800" y="317500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109</xdr:row>
      <xdr:rowOff>228600</xdr:rowOff>
    </xdr:from>
    <xdr:to>
      <xdr:col>27</xdr:col>
      <xdr:colOff>271463</xdr:colOff>
      <xdr:row>109</xdr:row>
      <xdr:rowOff>228600</xdr:rowOff>
    </xdr:to>
    <xdr:cxnSp macro="">
      <xdr:nvCxnSpPr>
        <xdr:cNvPr id="8453188" name="AutoShape 53">
          <a:extLst>
            <a:ext uri="{FF2B5EF4-FFF2-40B4-BE49-F238E27FC236}">
              <a16:creationId xmlns:a16="http://schemas.microsoft.com/office/drawing/2014/main" id="{3C116896-D449-4EA1-8E9A-83736F8856C3}"/>
            </a:ext>
          </a:extLst>
        </xdr:cNvPr>
        <xdr:cNvCxnSpPr>
          <a:cxnSpLocks noChangeShapeType="1"/>
          <a:stCxn id="7287055" idx="6"/>
          <a:endCxn id="7287054" idx="2"/>
        </xdr:cNvCxnSpPr>
      </xdr:nvCxnSpPr>
      <xdr:spPr bwMode="auto">
        <a:xfrm>
          <a:off x="10958513" y="31713488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115888</xdr:colOff>
      <xdr:row>108</xdr:row>
      <xdr:rowOff>138430</xdr:rowOff>
    </xdr:from>
    <xdr:ext cx="303673" cy="170560"/>
    <xdr:sp macro="" textlink="">
      <xdr:nvSpPr>
        <xdr:cNvPr id="5174" name="Text Box 54">
          <a:extLst>
            <a:ext uri="{FF2B5EF4-FFF2-40B4-BE49-F238E27FC236}">
              <a16:creationId xmlns:a16="http://schemas.microsoft.com/office/drawing/2014/main" id="{2761387F-3833-4023-ADD8-92D6C153B4D1}"/>
            </a:ext>
          </a:extLst>
        </xdr:cNvPr>
        <xdr:cNvSpPr txBox="1">
          <a:spLocks noChangeArrowheads="1"/>
        </xdr:cNvSpPr>
      </xdr:nvSpPr>
      <xdr:spPr bwMode="auto">
        <a:xfrm>
          <a:off x="11080844" y="31486886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1.1.3</a:t>
          </a:r>
        </a:p>
      </xdr:txBody>
    </xdr:sp>
    <xdr:clientData/>
  </xdr:oneCellAnchor>
  <xdr:twoCellAnchor>
    <xdr:from>
      <xdr:col>28</xdr:col>
      <xdr:colOff>9469</xdr:colOff>
      <xdr:row>112</xdr:row>
      <xdr:rowOff>118745</xdr:rowOff>
    </xdr:from>
    <xdr:to>
      <xdr:col>29</xdr:col>
      <xdr:colOff>3990</xdr:colOff>
      <xdr:row>113</xdr:row>
      <xdr:rowOff>151226</xdr:rowOff>
    </xdr:to>
    <xdr:sp macro="" textlink="">
      <xdr:nvSpPr>
        <xdr:cNvPr id="7287058" name="Oval 55">
          <a:extLst>
            <a:ext uri="{FF2B5EF4-FFF2-40B4-BE49-F238E27FC236}">
              <a16:creationId xmlns:a16="http://schemas.microsoft.com/office/drawing/2014/main" id="{972E5559-563D-4C31-BC69-5DC541BCDD22}"/>
            </a:ext>
          </a:extLst>
        </xdr:cNvPr>
        <xdr:cNvSpPr>
          <a:spLocks noChangeArrowheads="1"/>
        </xdr:cNvSpPr>
      </xdr:nvSpPr>
      <xdr:spPr bwMode="auto">
        <a:xfrm>
          <a:off x="12268200" y="322961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112</xdr:row>
      <xdr:rowOff>118745</xdr:rowOff>
    </xdr:from>
    <xdr:to>
      <xdr:col>25</xdr:col>
      <xdr:colOff>755</xdr:colOff>
      <xdr:row>113</xdr:row>
      <xdr:rowOff>151226</xdr:rowOff>
    </xdr:to>
    <xdr:sp macro="" textlink="">
      <xdr:nvSpPr>
        <xdr:cNvPr id="7287059" name="Oval 56">
          <a:extLst>
            <a:ext uri="{FF2B5EF4-FFF2-40B4-BE49-F238E27FC236}">
              <a16:creationId xmlns:a16="http://schemas.microsoft.com/office/drawing/2014/main" id="{CB63E9F4-8E36-4C0B-848A-CF266FE4F7BF}"/>
            </a:ext>
          </a:extLst>
        </xdr:cNvPr>
        <xdr:cNvSpPr>
          <a:spLocks noChangeArrowheads="1"/>
        </xdr:cNvSpPr>
      </xdr:nvSpPr>
      <xdr:spPr bwMode="auto">
        <a:xfrm>
          <a:off x="11353800" y="322961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113</xdr:row>
      <xdr:rowOff>23813</xdr:rowOff>
    </xdr:from>
    <xdr:to>
      <xdr:col>27</xdr:col>
      <xdr:colOff>271463</xdr:colOff>
      <xdr:row>113</xdr:row>
      <xdr:rowOff>23813</xdr:rowOff>
    </xdr:to>
    <xdr:cxnSp macro="">
      <xdr:nvCxnSpPr>
        <xdr:cNvPr id="8453192" name="AutoShape 57">
          <a:extLst>
            <a:ext uri="{FF2B5EF4-FFF2-40B4-BE49-F238E27FC236}">
              <a16:creationId xmlns:a16="http://schemas.microsoft.com/office/drawing/2014/main" id="{5CED5F6F-B1D8-459B-B081-0407EB9824A3}"/>
            </a:ext>
          </a:extLst>
        </xdr:cNvPr>
        <xdr:cNvCxnSpPr>
          <a:cxnSpLocks noChangeShapeType="1"/>
          <a:stCxn id="7287059" idx="6"/>
          <a:endCxn id="7287058" idx="2"/>
        </xdr:cNvCxnSpPr>
      </xdr:nvCxnSpPr>
      <xdr:spPr bwMode="auto">
        <a:xfrm>
          <a:off x="10958513" y="32223075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201931</xdr:colOff>
      <xdr:row>112</xdr:row>
      <xdr:rowOff>3419</xdr:rowOff>
    </xdr:from>
    <xdr:ext cx="303673" cy="170560"/>
    <xdr:sp macro="" textlink="">
      <xdr:nvSpPr>
        <xdr:cNvPr id="5178" name="Text Box 58">
          <a:extLst>
            <a:ext uri="{FF2B5EF4-FFF2-40B4-BE49-F238E27FC236}">
              <a16:creationId xmlns:a16="http://schemas.microsoft.com/office/drawing/2014/main" id="{645851FC-2283-4026-A47F-85203DCDADB0}"/>
            </a:ext>
          </a:extLst>
        </xdr:cNvPr>
        <xdr:cNvSpPr txBox="1">
          <a:spLocks noChangeArrowheads="1"/>
        </xdr:cNvSpPr>
      </xdr:nvSpPr>
      <xdr:spPr bwMode="auto">
        <a:xfrm>
          <a:off x="11166887" y="320018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1.1.4</a:t>
          </a:r>
        </a:p>
      </xdr:txBody>
    </xdr:sp>
    <xdr:clientData/>
  </xdr:oneCellAnchor>
  <xdr:twoCellAnchor>
    <xdr:from>
      <xdr:col>28</xdr:col>
      <xdr:colOff>9469</xdr:colOff>
      <xdr:row>116</xdr:row>
      <xdr:rowOff>0</xdr:rowOff>
    </xdr:from>
    <xdr:to>
      <xdr:col>29</xdr:col>
      <xdr:colOff>3990</xdr:colOff>
      <xdr:row>117</xdr:row>
      <xdr:rowOff>146927</xdr:rowOff>
    </xdr:to>
    <xdr:sp macro="" textlink="">
      <xdr:nvSpPr>
        <xdr:cNvPr id="7287062" name="Oval 59">
          <a:extLst>
            <a:ext uri="{FF2B5EF4-FFF2-40B4-BE49-F238E27FC236}">
              <a16:creationId xmlns:a16="http://schemas.microsoft.com/office/drawing/2014/main" id="{90C6307C-3687-456C-9A5D-0169E4CEA630}"/>
            </a:ext>
          </a:extLst>
        </xdr:cNvPr>
        <xdr:cNvSpPr>
          <a:spLocks noChangeArrowheads="1"/>
        </xdr:cNvSpPr>
      </xdr:nvSpPr>
      <xdr:spPr bwMode="auto">
        <a:xfrm>
          <a:off x="12268200" y="328930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116</xdr:row>
      <xdr:rowOff>0</xdr:rowOff>
    </xdr:from>
    <xdr:to>
      <xdr:col>25</xdr:col>
      <xdr:colOff>755</xdr:colOff>
      <xdr:row>117</xdr:row>
      <xdr:rowOff>146927</xdr:rowOff>
    </xdr:to>
    <xdr:sp macro="" textlink="">
      <xdr:nvSpPr>
        <xdr:cNvPr id="7287063" name="Oval 60">
          <a:extLst>
            <a:ext uri="{FF2B5EF4-FFF2-40B4-BE49-F238E27FC236}">
              <a16:creationId xmlns:a16="http://schemas.microsoft.com/office/drawing/2014/main" id="{EC0E3021-59C4-4824-ADA6-4AD1209F7953}"/>
            </a:ext>
          </a:extLst>
        </xdr:cNvPr>
        <xdr:cNvSpPr>
          <a:spLocks noChangeArrowheads="1"/>
        </xdr:cNvSpPr>
      </xdr:nvSpPr>
      <xdr:spPr bwMode="auto">
        <a:xfrm>
          <a:off x="11353800" y="328930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116</xdr:row>
      <xdr:rowOff>204788</xdr:rowOff>
    </xdr:from>
    <xdr:to>
      <xdr:col>27</xdr:col>
      <xdr:colOff>271463</xdr:colOff>
      <xdr:row>116</xdr:row>
      <xdr:rowOff>204788</xdr:rowOff>
    </xdr:to>
    <xdr:cxnSp macro="">
      <xdr:nvCxnSpPr>
        <xdr:cNvPr id="8453196" name="AutoShape 61">
          <a:extLst>
            <a:ext uri="{FF2B5EF4-FFF2-40B4-BE49-F238E27FC236}">
              <a16:creationId xmlns:a16="http://schemas.microsoft.com/office/drawing/2014/main" id="{E8EED459-C699-4C28-B6E3-23C5A9D97946}"/>
            </a:ext>
          </a:extLst>
        </xdr:cNvPr>
        <xdr:cNvCxnSpPr>
          <a:cxnSpLocks noChangeShapeType="1"/>
          <a:stCxn id="7287063" idx="6"/>
          <a:endCxn id="7287062" idx="2"/>
        </xdr:cNvCxnSpPr>
      </xdr:nvCxnSpPr>
      <xdr:spPr bwMode="auto">
        <a:xfrm>
          <a:off x="10958513" y="32846963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115888</xdr:colOff>
      <xdr:row>115</xdr:row>
      <xdr:rowOff>116522</xdr:rowOff>
    </xdr:from>
    <xdr:ext cx="303673" cy="170560"/>
    <xdr:sp macro="" textlink="">
      <xdr:nvSpPr>
        <xdr:cNvPr id="5182" name="Text Box 62">
          <a:extLst>
            <a:ext uri="{FF2B5EF4-FFF2-40B4-BE49-F238E27FC236}">
              <a16:creationId xmlns:a16="http://schemas.microsoft.com/office/drawing/2014/main" id="{801B4B99-0D34-4363-B8EC-EB87854A366B}"/>
            </a:ext>
          </a:extLst>
        </xdr:cNvPr>
        <xdr:cNvSpPr txBox="1">
          <a:spLocks noChangeArrowheads="1"/>
        </xdr:cNvSpPr>
      </xdr:nvSpPr>
      <xdr:spPr bwMode="auto">
        <a:xfrm>
          <a:off x="11080844" y="3260237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1.1.5</a:t>
          </a:r>
        </a:p>
      </xdr:txBody>
    </xdr:sp>
    <xdr:clientData/>
  </xdr:oneCellAnchor>
  <xdr:twoCellAnchor>
    <xdr:from>
      <xdr:col>28</xdr:col>
      <xdr:colOff>9469</xdr:colOff>
      <xdr:row>119</xdr:row>
      <xdr:rowOff>153987</xdr:rowOff>
    </xdr:from>
    <xdr:to>
      <xdr:col>29</xdr:col>
      <xdr:colOff>3990</xdr:colOff>
      <xdr:row>121</xdr:row>
      <xdr:rowOff>136632</xdr:rowOff>
    </xdr:to>
    <xdr:sp macro="" textlink="">
      <xdr:nvSpPr>
        <xdr:cNvPr id="7287066" name="Oval 63">
          <a:extLst>
            <a:ext uri="{FF2B5EF4-FFF2-40B4-BE49-F238E27FC236}">
              <a16:creationId xmlns:a16="http://schemas.microsoft.com/office/drawing/2014/main" id="{BC1A4898-51E6-42E4-9794-16A67D04A766}"/>
            </a:ext>
          </a:extLst>
        </xdr:cNvPr>
        <xdr:cNvSpPr>
          <a:spLocks noChangeArrowheads="1"/>
        </xdr:cNvSpPr>
      </xdr:nvSpPr>
      <xdr:spPr bwMode="auto">
        <a:xfrm>
          <a:off x="12268200" y="335280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119</xdr:row>
      <xdr:rowOff>153987</xdr:rowOff>
    </xdr:from>
    <xdr:to>
      <xdr:col>25</xdr:col>
      <xdr:colOff>755</xdr:colOff>
      <xdr:row>121</xdr:row>
      <xdr:rowOff>136632</xdr:rowOff>
    </xdr:to>
    <xdr:sp macro="" textlink="">
      <xdr:nvSpPr>
        <xdr:cNvPr id="7287067" name="Oval 64">
          <a:extLst>
            <a:ext uri="{FF2B5EF4-FFF2-40B4-BE49-F238E27FC236}">
              <a16:creationId xmlns:a16="http://schemas.microsoft.com/office/drawing/2014/main" id="{790017FC-367C-4A69-AD19-4C152795A7A2}"/>
            </a:ext>
          </a:extLst>
        </xdr:cNvPr>
        <xdr:cNvSpPr>
          <a:spLocks noChangeArrowheads="1"/>
        </xdr:cNvSpPr>
      </xdr:nvSpPr>
      <xdr:spPr bwMode="auto">
        <a:xfrm>
          <a:off x="11353800" y="335280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120</xdr:row>
      <xdr:rowOff>152400</xdr:rowOff>
    </xdr:from>
    <xdr:to>
      <xdr:col>27</xdr:col>
      <xdr:colOff>271463</xdr:colOff>
      <xdr:row>120</xdr:row>
      <xdr:rowOff>152400</xdr:rowOff>
    </xdr:to>
    <xdr:cxnSp macro="">
      <xdr:nvCxnSpPr>
        <xdr:cNvPr id="8453200" name="AutoShape 65">
          <a:extLst>
            <a:ext uri="{FF2B5EF4-FFF2-40B4-BE49-F238E27FC236}">
              <a16:creationId xmlns:a16="http://schemas.microsoft.com/office/drawing/2014/main" id="{94557863-F55A-4754-A685-69113903AB13}"/>
            </a:ext>
          </a:extLst>
        </xdr:cNvPr>
        <xdr:cNvCxnSpPr>
          <a:cxnSpLocks noChangeShapeType="1"/>
          <a:stCxn id="7287067" idx="6"/>
          <a:endCxn id="7287066" idx="2"/>
        </xdr:cNvCxnSpPr>
      </xdr:nvCxnSpPr>
      <xdr:spPr bwMode="auto">
        <a:xfrm>
          <a:off x="10958513" y="33485138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115888</xdr:colOff>
      <xdr:row>119</xdr:row>
      <xdr:rowOff>0</xdr:rowOff>
    </xdr:from>
    <xdr:ext cx="303673" cy="170560"/>
    <xdr:sp macro="" textlink="">
      <xdr:nvSpPr>
        <xdr:cNvPr id="5186" name="Text Box 66">
          <a:extLst>
            <a:ext uri="{FF2B5EF4-FFF2-40B4-BE49-F238E27FC236}">
              <a16:creationId xmlns:a16="http://schemas.microsoft.com/office/drawing/2014/main" id="{BDF9D9B1-0297-443B-984B-29DBC043D265}"/>
            </a:ext>
          </a:extLst>
        </xdr:cNvPr>
        <xdr:cNvSpPr txBox="1">
          <a:spLocks noChangeArrowheads="1"/>
        </xdr:cNvSpPr>
      </xdr:nvSpPr>
      <xdr:spPr bwMode="auto">
        <a:xfrm>
          <a:off x="11080844" y="3313579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1.1.6</a:t>
          </a:r>
        </a:p>
      </xdr:txBody>
    </xdr:sp>
    <xdr:clientData/>
  </xdr:oneCellAnchor>
  <xdr:twoCellAnchor>
    <xdr:from>
      <xdr:col>21</xdr:col>
      <xdr:colOff>2484</xdr:colOff>
      <xdr:row>111</xdr:row>
      <xdr:rowOff>15483</xdr:rowOff>
    </xdr:from>
    <xdr:to>
      <xdr:col>22</xdr:col>
      <xdr:colOff>61496</xdr:colOff>
      <xdr:row>112</xdr:row>
      <xdr:rowOff>39503</xdr:rowOff>
    </xdr:to>
    <xdr:sp macro="" textlink="">
      <xdr:nvSpPr>
        <xdr:cNvPr id="7287070" name="Oval 70">
          <a:extLst>
            <a:ext uri="{FF2B5EF4-FFF2-40B4-BE49-F238E27FC236}">
              <a16:creationId xmlns:a16="http://schemas.microsoft.com/office/drawing/2014/main" id="{DDE529E2-64FC-4B39-9558-208C40BFAF1E}"/>
            </a:ext>
          </a:extLst>
        </xdr:cNvPr>
        <xdr:cNvSpPr>
          <a:spLocks noChangeArrowheads="1"/>
        </xdr:cNvSpPr>
      </xdr:nvSpPr>
      <xdr:spPr bwMode="auto">
        <a:xfrm>
          <a:off x="10706100" y="320040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17</xdr:col>
      <xdr:colOff>261</xdr:colOff>
      <xdr:row>111</xdr:row>
      <xdr:rowOff>15483</xdr:rowOff>
    </xdr:from>
    <xdr:to>
      <xdr:col>18</xdr:col>
      <xdr:colOff>34652</xdr:colOff>
      <xdr:row>112</xdr:row>
      <xdr:rowOff>39503</xdr:rowOff>
    </xdr:to>
    <xdr:sp macro="" textlink="">
      <xdr:nvSpPr>
        <xdr:cNvPr id="7287071" name="Oval 71">
          <a:extLst>
            <a:ext uri="{FF2B5EF4-FFF2-40B4-BE49-F238E27FC236}">
              <a16:creationId xmlns:a16="http://schemas.microsoft.com/office/drawing/2014/main" id="{F909DA2D-A29A-4D71-99C5-7515C7DBC297}"/>
            </a:ext>
          </a:extLst>
        </xdr:cNvPr>
        <xdr:cNvSpPr>
          <a:spLocks noChangeArrowheads="1"/>
        </xdr:cNvSpPr>
      </xdr:nvSpPr>
      <xdr:spPr bwMode="auto">
        <a:xfrm>
          <a:off x="9728200" y="32004000"/>
          <a:ext cx="2921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18</xdr:col>
      <xdr:colOff>38100</xdr:colOff>
      <xdr:row>111</xdr:row>
      <xdr:rowOff>95250</xdr:rowOff>
    </xdr:from>
    <xdr:to>
      <xdr:col>20</xdr:col>
      <xdr:colOff>366713</xdr:colOff>
      <xdr:row>111</xdr:row>
      <xdr:rowOff>95250</xdr:rowOff>
    </xdr:to>
    <xdr:cxnSp macro="">
      <xdr:nvCxnSpPr>
        <xdr:cNvPr id="8453204" name="AutoShape 72">
          <a:extLst>
            <a:ext uri="{FF2B5EF4-FFF2-40B4-BE49-F238E27FC236}">
              <a16:creationId xmlns:a16="http://schemas.microsoft.com/office/drawing/2014/main" id="{4E0C7411-DEF5-420F-8AB1-F7397752A79F}"/>
            </a:ext>
          </a:extLst>
        </xdr:cNvPr>
        <xdr:cNvCxnSpPr>
          <a:cxnSpLocks noChangeShapeType="1"/>
          <a:stCxn id="7287071" idx="6"/>
          <a:endCxn id="7287070" idx="2"/>
        </xdr:cNvCxnSpPr>
      </xdr:nvCxnSpPr>
      <xdr:spPr bwMode="auto">
        <a:xfrm>
          <a:off x="9482138" y="31970663"/>
          <a:ext cx="61912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19</xdr:col>
      <xdr:colOff>38</xdr:colOff>
      <xdr:row>110</xdr:row>
      <xdr:rowOff>8816</xdr:rowOff>
    </xdr:from>
    <xdr:ext cx="303673" cy="170560"/>
    <xdr:sp macro="" textlink="">
      <xdr:nvSpPr>
        <xdr:cNvPr id="5193" name="Text Box 73">
          <a:extLst>
            <a:ext uri="{FF2B5EF4-FFF2-40B4-BE49-F238E27FC236}">
              <a16:creationId xmlns:a16="http://schemas.microsoft.com/office/drawing/2014/main" id="{61D5B446-8B0D-49CF-BDB5-84D3BEF2E7F4}"/>
            </a:ext>
          </a:extLst>
        </xdr:cNvPr>
        <xdr:cNvSpPr txBox="1">
          <a:spLocks noChangeArrowheads="1"/>
        </xdr:cNvSpPr>
      </xdr:nvSpPr>
      <xdr:spPr bwMode="auto">
        <a:xfrm>
          <a:off x="9687524" y="31682243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1.1.7</a:t>
          </a:r>
        </a:p>
      </xdr:txBody>
    </xdr:sp>
    <xdr:clientData/>
  </xdr:oneCellAnchor>
  <xdr:twoCellAnchor>
    <xdr:from>
      <xdr:col>16</xdr:col>
      <xdr:colOff>61913</xdr:colOff>
      <xdr:row>111</xdr:row>
      <xdr:rowOff>95250</xdr:rowOff>
    </xdr:from>
    <xdr:to>
      <xdr:col>16</xdr:col>
      <xdr:colOff>347663</xdr:colOff>
      <xdr:row>154</xdr:row>
      <xdr:rowOff>23813</xdr:rowOff>
    </xdr:to>
    <xdr:cxnSp macro="">
      <xdr:nvCxnSpPr>
        <xdr:cNvPr id="8453206" name="AutoShape 74">
          <a:extLst>
            <a:ext uri="{FF2B5EF4-FFF2-40B4-BE49-F238E27FC236}">
              <a16:creationId xmlns:a16="http://schemas.microsoft.com/office/drawing/2014/main" id="{E0D3E941-72BD-4CA0-90FB-FF44AA4A11C6}"/>
            </a:ext>
          </a:extLst>
        </xdr:cNvPr>
        <xdr:cNvCxnSpPr>
          <a:cxnSpLocks noChangeShapeType="1"/>
          <a:stCxn id="7287029" idx="0"/>
          <a:endCxn id="7287071" idx="2"/>
        </xdr:cNvCxnSpPr>
      </xdr:nvCxnSpPr>
      <xdr:spPr bwMode="auto">
        <a:xfrm rot="-5400000">
          <a:off x="5686425" y="35332988"/>
          <a:ext cx="6891337" cy="1666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102</xdr:row>
      <xdr:rowOff>95250</xdr:rowOff>
    </xdr:from>
    <xdr:to>
      <xdr:col>23</xdr:col>
      <xdr:colOff>271463</xdr:colOff>
      <xdr:row>110</xdr:row>
      <xdr:rowOff>152400</xdr:rowOff>
    </xdr:to>
    <xdr:cxnSp macro="">
      <xdr:nvCxnSpPr>
        <xdr:cNvPr id="8453207" name="AutoShape 75">
          <a:extLst>
            <a:ext uri="{FF2B5EF4-FFF2-40B4-BE49-F238E27FC236}">
              <a16:creationId xmlns:a16="http://schemas.microsoft.com/office/drawing/2014/main" id="{DC397BAC-F1FC-4C94-9CF4-464782C723F0}"/>
            </a:ext>
          </a:extLst>
        </xdr:cNvPr>
        <xdr:cNvCxnSpPr>
          <a:cxnSpLocks noChangeShapeType="1"/>
          <a:stCxn id="7287070" idx="0"/>
          <a:endCxn id="7287047" idx="2"/>
        </xdr:cNvCxnSpPr>
      </xdr:nvCxnSpPr>
      <xdr:spPr bwMode="auto">
        <a:xfrm rot="-5400000">
          <a:off x="9848850" y="30970538"/>
          <a:ext cx="1352550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106</xdr:row>
      <xdr:rowOff>23813</xdr:rowOff>
    </xdr:from>
    <xdr:to>
      <xdr:col>23</xdr:col>
      <xdr:colOff>271463</xdr:colOff>
      <xdr:row>110</xdr:row>
      <xdr:rowOff>152400</xdr:rowOff>
    </xdr:to>
    <xdr:cxnSp macro="">
      <xdr:nvCxnSpPr>
        <xdr:cNvPr id="8453208" name="AutoShape 76">
          <a:extLst>
            <a:ext uri="{FF2B5EF4-FFF2-40B4-BE49-F238E27FC236}">
              <a16:creationId xmlns:a16="http://schemas.microsoft.com/office/drawing/2014/main" id="{769893AB-3C9E-4459-AB0A-7CF14E1F3B17}"/>
            </a:ext>
          </a:extLst>
        </xdr:cNvPr>
        <xdr:cNvCxnSpPr>
          <a:cxnSpLocks noChangeShapeType="1"/>
          <a:stCxn id="7287070" idx="0"/>
          <a:endCxn id="7287051" idx="2"/>
        </xdr:cNvCxnSpPr>
      </xdr:nvCxnSpPr>
      <xdr:spPr bwMode="auto">
        <a:xfrm rot="-5400000">
          <a:off x="10136981" y="31258669"/>
          <a:ext cx="776288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109</xdr:row>
      <xdr:rowOff>228600</xdr:rowOff>
    </xdr:from>
    <xdr:to>
      <xdr:col>23</xdr:col>
      <xdr:colOff>271463</xdr:colOff>
      <xdr:row>110</xdr:row>
      <xdr:rowOff>152400</xdr:rowOff>
    </xdr:to>
    <xdr:cxnSp macro="">
      <xdr:nvCxnSpPr>
        <xdr:cNvPr id="8453209" name="AutoShape 77">
          <a:extLst>
            <a:ext uri="{FF2B5EF4-FFF2-40B4-BE49-F238E27FC236}">
              <a16:creationId xmlns:a16="http://schemas.microsoft.com/office/drawing/2014/main" id="{A6EF1877-684E-42AB-974C-16A61B6F29B7}"/>
            </a:ext>
          </a:extLst>
        </xdr:cNvPr>
        <xdr:cNvCxnSpPr>
          <a:cxnSpLocks noChangeShapeType="1"/>
          <a:stCxn id="7287070" idx="0"/>
          <a:endCxn id="7287055" idx="2"/>
        </xdr:cNvCxnSpPr>
      </xdr:nvCxnSpPr>
      <xdr:spPr bwMode="auto">
        <a:xfrm rot="-5400000">
          <a:off x="10448925" y="31570613"/>
          <a:ext cx="152400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112</xdr:row>
      <xdr:rowOff>57150</xdr:rowOff>
    </xdr:from>
    <xdr:to>
      <xdr:col>23</xdr:col>
      <xdr:colOff>271463</xdr:colOff>
      <xdr:row>113</xdr:row>
      <xdr:rowOff>23813</xdr:rowOff>
    </xdr:to>
    <xdr:cxnSp macro="">
      <xdr:nvCxnSpPr>
        <xdr:cNvPr id="8453210" name="AutoShape 78">
          <a:extLst>
            <a:ext uri="{FF2B5EF4-FFF2-40B4-BE49-F238E27FC236}">
              <a16:creationId xmlns:a16="http://schemas.microsoft.com/office/drawing/2014/main" id="{7982FA18-356A-43C9-9C42-4CE7C70A0526}"/>
            </a:ext>
          </a:extLst>
        </xdr:cNvPr>
        <xdr:cNvCxnSpPr>
          <a:cxnSpLocks noChangeShapeType="1"/>
          <a:stCxn id="7287070" idx="4"/>
          <a:endCxn id="7287059" idx="2"/>
        </xdr:cNvCxnSpPr>
      </xdr:nvCxnSpPr>
      <xdr:spPr bwMode="auto">
        <a:xfrm rot="16200000" flipH="1">
          <a:off x="10460831" y="31939707"/>
          <a:ext cx="128587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Dot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112</xdr:row>
      <xdr:rowOff>57150</xdr:rowOff>
    </xdr:from>
    <xdr:to>
      <xdr:col>23</xdr:col>
      <xdr:colOff>271463</xdr:colOff>
      <xdr:row>116</xdr:row>
      <xdr:rowOff>204788</xdr:rowOff>
    </xdr:to>
    <xdr:cxnSp macro="">
      <xdr:nvCxnSpPr>
        <xdr:cNvPr id="8453211" name="AutoShape 79">
          <a:extLst>
            <a:ext uri="{FF2B5EF4-FFF2-40B4-BE49-F238E27FC236}">
              <a16:creationId xmlns:a16="http://schemas.microsoft.com/office/drawing/2014/main" id="{1670A7D5-91CC-4E91-BD8D-D753186F2F8B}"/>
            </a:ext>
          </a:extLst>
        </xdr:cNvPr>
        <xdr:cNvCxnSpPr>
          <a:cxnSpLocks noChangeShapeType="1"/>
          <a:stCxn id="7287070" idx="4"/>
          <a:endCxn id="7287063" idx="2"/>
        </xdr:cNvCxnSpPr>
      </xdr:nvCxnSpPr>
      <xdr:spPr bwMode="auto">
        <a:xfrm rot="16200000" flipH="1">
          <a:off x="10148887" y="32251651"/>
          <a:ext cx="752475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112</xdr:row>
      <xdr:rowOff>57150</xdr:rowOff>
    </xdr:from>
    <xdr:to>
      <xdr:col>23</xdr:col>
      <xdr:colOff>271463</xdr:colOff>
      <xdr:row>120</xdr:row>
      <xdr:rowOff>152400</xdr:rowOff>
    </xdr:to>
    <xdr:cxnSp macro="">
      <xdr:nvCxnSpPr>
        <xdr:cNvPr id="8453212" name="AutoShape 80">
          <a:extLst>
            <a:ext uri="{FF2B5EF4-FFF2-40B4-BE49-F238E27FC236}">
              <a16:creationId xmlns:a16="http://schemas.microsoft.com/office/drawing/2014/main" id="{F7DBF10E-C5D7-4840-BD2F-E906C0271A74}"/>
            </a:ext>
          </a:extLst>
        </xdr:cNvPr>
        <xdr:cNvCxnSpPr>
          <a:cxnSpLocks noChangeShapeType="1"/>
          <a:stCxn id="7287070" idx="4"/>
          <a:endCxn id="7287067" idx="2"/>
        </xdr:cNvCxnSpPr>
      </xdr:nvCxnSpPr>
      <xdr:spPr bwMode="auto">
        <a:xfrm rot="16200000" flipH="1">
          <a:off x="9829800" y="32570738"/>
          <a:ext cx="1390650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28</xdr:col>
      <xdr:colOff>1214</xdr:colOff>
      <xdr:row>134</xdr:row>
      <xdr:rowOff>134620</xdr:rowOff>
    </xdr:from>
    <xdr:to>
      <xdr:col>29</xdr:col>
      <xdr:colOff>10722</xdr:colOff>
      <xdr:row>136</xdr:row>
      <xdr:rowOff>29775</xdr:rowOff>
    </xdr:to>
    <xdr:sp macro="" textlink="">
      <xdr:nvSpPr>
        <xdr:cNvPr id="7287081" name="Oval 81">
          <a:extLst>
            <a:ext uri="{FF2B5EF4-FFF2-40B4-BE49-F238E27FC236}">
              <a16:creationId xmlns:a16="http://schemas.microsoft.com/office/drawing/2014/main" id="{B6538294-9E67-4462-AC8A-60FBCB61FAF1}"/>
            </a:ext>
          </a:extLst>
        </xdr:cNvPr>
        <xdr:cNvSpPr>
          <a:spLocks noChangeArrowheads="1"/>
        </xdr:cNvSpPr>
      </xdr:nvSpPr>
      <xdr:spPr bwMode="auto">
        <a:xfrm>
          <a:off x="12280900" y="359537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134</xdr:row>
      <xdr:rowOff>134620</xdr:rowOff>
    </xdr:from>
    <xdr:to>
      <xdr:col>25</xdr:col>
      <xdr:colOff>10778</xdr:colOff>
      <xdr:row>136</xdr:row>
      <xdr:rowOff>29775</xdr:rowOff>
    </xdr:to>
    <xdr:sp macro="" textlink="">
      <xdr:nvSpPr>
        <xdr:cNvPr id="7287082" name="Oval 82">
          <a:extLst>
            <a:ext uri="{FF2B5EF4-FFF2-40B4-BE49-F238E27FC236}">
              <a16:creationId xmlns:a16="http://schemas.microsoft.com/office/drawing/2014/main" id="{D0E61D9B-D176-477F-953A-A1826D9AD2B9}"/>
            </a:ext>
          </a:extLst>
        </xdr:cNvPr>
        <xdr:cNvSpPr>
          <a:spLocks noChangeArrowheads="1"/>
        </xdr:cNvSpPr>
      </xdr:nvSpPr>
      <xdr:spPr bwMode="auto">
        <a:xfrm>
          <a:off x="11353800" y="359537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357188</xdr:colOff>
      <xdr:row>135</xdr:row>
      <xdr:rowOff>95250</xdr:rowOff>
    </xdr:from>
    <xdr:to>
      <xdr:col>27</xdr:col>
      <xdr:colOff>285750</xdr:colOff>
      <xdr:row>135</xdr:row>
      <xdr:rowOff>95250</xdr:rowOff>
    </xdr:to>
    <xdr:cxnSp macro="">
      <xdr:nvCxnSpPr>
        <xdr:cNvPr id="8453215" name="AutoShape 83">
          <a:extLst>
            <a:ext uri="{FF2B5EF4-FFF2-40B4-BE49-F238E27FC236}">
              <a16:creationId xmlns:a16="http://schemas.microsoft.com/office/drawing/2014/main" id="{E6FC3A2F-FEBA-4C3E-BDDD-8F33547E3DDD}"/>
            </a:ext>
          </a:extLst>
        </xdr:cNvPr>
        <xdr:cNvCxnSpPr>
          <a:cxnSpLocks noChangeShapeType="1"/>
          <a:stCxn id="7287082" idx="6"/>
          <a:endCxn id="7287081" idx="2"/>
        </xdr:cNvCxnSpPr>
      </xdr:nvCxnSpPr>
      <xdr:spPr bwMode="auto">
        <a:xfrm>
          <a:off x="10958513" y="35856863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115888</xdr:colOff>
      <xdr:row>134</xdr:row>
      <xdr:rowOff>243</xdr:rowOff>
    </xdr:from>
    <xdr:ext cx="303673" cy="170560"/>
    <xdr:sp macro="" textlink="">
      <xdr:nvSpPr>
        <xdr:cNvPr id="5204" name="Text Box 84">
          <a:extLst>
            <a:ext uri="{FF2B5EF4-FFF2-40B4-BE49-F238E27FC236}">
              <a16:creationId xmlns:a16="http://schemas.microsoft.com/office/drawing/2014/main" id="{857377E7-16FB-4884-9D49-CABBB1489C39}"/>
            </a:ext>
          </a:extLst>
        </xdr:cNvPr>
        <xdr:cNvSpPr txBox="1">
          <a:spLocks noChangeArrowheads="1"/>
        </xdr:cNvSpPr>
      </xdr:nvSpPr>
      <xdr:spPr bwMode="auto">
        <a:xfrm>
          <a:off x="11080844" y="355733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1.2.1</a:t>
          </a:r>
        </a:p>
      </xdr:txBody>
    </xdr:sp>
    <xdr:clientData/>
  </xdr:oneCellAnchor>
  <xdr:twoCellAnchor>
    <xdr:from>
      <xdr:col>31</xdr:col>
      <xdr:colOff>119063</xdr:colOff>
      <xdr:row>134</xdr:row>
      <xdr:rowOff>134620</xdr:rowOff>
    </xdr:from>
    <xdr:to>
      <xdr:col>32</xdr:col>
      <xdr:colOff>175516</xdr:colOff>
      <xdr:row>136</xdr:row>
      <xdr:rowOff>29775</xdr:rowOff>
    </xdr:to>
    <xdr:sp macro="" textlink="">
      <xdr:nvSpPr>
        <xdr:cNvPr id="7287085" name="Oval 85">
          <a:extLst>
            <a:ext uri="{FF2B5EF4-FFF2-40B4-BE49-F238E27FC236}">
              <a16:creationId xmlns:a16="http://schemas.microsoft.com/office/drawing/2014/main" id="{9FCE1121-2B88-47FE-AB9B-7AA521E43745}"/>
            </a:ext>
          </a:extLst>
        </xdr:cNvPr>
        <xdr:cNvSpPr>
          <a:spLocks noChangeArrowheads="1"/>
        </xdr:cNvSpPr>
      </xdr:nvSpPr>
      <xdr:spPr bwMode="auto">
        <a:xfrm>
          <a:off x="13068300" y="35953700"/>
          <a:ext cx="3175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366713</xdr:colOff>
      <xdr:row>135</xdr:row>
      <xdr:rowOff>95250</xdr:rowOff>
    </xdr:from>
    <xdr:to>
      <xdr:col>31</xdr:col>
      <xdr:colOff>109538</xdr:colOff>
      <xdr:row>135</xdr:row>
      <xdr:rowOff>95250</xdr:rowOff>
    </xdr:to>
    <xdr:cxnSp macro="">
      <xdr:nvCxnSpPr>
        <xdr:cNvPr id="8453218" name="AutoShape 87">
          <a:extLst>
            <a:ext uri="{FF2B5EF4-FFF2-40B4-BE49-F238E27FC236}">
              <a16:creationId xmlns:a16="http://schemas.microsoft.com/office/drawing/2014/main" id="{98C7F278-70FE-458D-A9FD-7136BF52F835}"/>
            </a:ext>
          </a:extLst>
        </xdr:cNvPr>
        <xdr:cNvCxnSpPr>
          <a:cxnSpLocks noChangeShapeType="1"/>
          <a:stCxn id="7287081" idx="6"/>
          <a:endCxn id="7287085" idx="2"/>
        </xdr:cNvCxnSpPr>
      </xdr:nvCxnSpPr>
      <xdr:spPr bwMode="auto">
        <a:xfrm>
          <a:off x="11815763" y="35856863"/>
          <a:ext cx="53816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155893</xdr:colOff>
      <xdr:row>134</xdr:row>
      <xdr:rowOff>243</xdr:rowOff>
    </xdr:from>
    <xdr:ext cx="303673" cy="170560"/>
    <xdr:sp macro="" textlink="">
      <xdr:nvSpPr>
        <xdr:cNvPr id="5208" name="Text Box 88">
          <a:extLst>
            <a:ext uri="{FF2B5EF4-FFF2-40B4-BE49-F238E27FC236}">
              <a16:creationId xmlns:a16="http://schemas.microsoft.com/office/drawing/2014/main" id="{820980EF-7D2C-4057-892B-0A198E4DCA81}"/>
            </a:ext>
          </a:extLst>
        </xdr:cNvPr>
        <xdr:cNvSpPr txBox="1">
          <a:spLocks noChangeArrowheads="1"/>
        </xdr:cNvSpPr>
      </xdr:nvSpPr>
      <xdr:spPr bwMode="auto">
        <a:xfrm>
          <a:off x="11972497" y="355733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1.2.2</a:t>
          </a:r>
        </a:p>
      </xdr:txBody>
    </xdr:sp>
    <xdr:clientData/>
  </xdr:oneCellAnchor>
  <xdr:twoCellAnchor>
    <xdr:from>
      <xdr:col>34</xdr:col>
      <xdr:colOff>193992</xdr:colOff>
      <xdr:row>134</xdr:row>
      <xdr:rowOff>134620</xdr:rowOff>
    </xdr:from>
    <xdr:to>
      <xdr:col>36</xdr:col>
      <xdr:colOff>1759</xdr:colOff>
      <xdr:row>136</xdr:row>
      <xdr:rowOff>29775</xdr:rowOff>
    </xdr:to>
    <xdr:sp macro="" textlink="">
      <xdr:nvSpPr>
        <xdr:cNvPr id="7287088" name="Oval 89">
          <a:extLst>
            <a:ext uri="{FF2B5EF4-FFF2-40B4-BE49-F238E27FC236}">
              <a16:creationId xmlns:a16="http://schemas.microsoft.com/office/drawing/2014/main" id="{664A8509-388F-4529-977E-1509A94322B6}"/>
            </a:ext>
          </a:extLst>
        </xdr:cNvPr>
        <xdr:cNvSpPr>
          <a:spLocks noChangeArrowheads="1"/>
        </xdr:cNvSpPr>
      </xdr:nvSpPr>
      <xdr:spPr bwMode="auto">
        <a:xfrm>
          <a:off x="13931900" y="359537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32</xdr:col>
      <xdr:colOff>176213</xdr:colOff>
      <xdr:row>135</xdr:row>
      <xdr:rowOff>95250</xdr:rowOff>
    </xdr:from>
    <xdr:to>
      <xdr:col>34</xdr:col>
      <xdr:colOff>209550</xdr:colOff>
      <xdr:row>135</xdr:row>
      <xdr:rowOff>95250</xdr:rowOff>
    </xdr:to>
    <xdr:cxnSp macro="">
      <xdr:nvCxnSpPr>
        <xdr:cNvPr id="8453221" name="AutoShape 91">
          <a:extLst>
            <a:ext uri="{FF2B5EF4-FFF2-40B4-BE49-F238E27FC236}">
              <a16:creationId xmlns:a16="http://schemas.microsoft.com/office/drawing/2014/main" id="{FA826031-3603-4E5F-9ECC-F5E82FE79CFF}"/>
            </a:ext>
          </a:extLst>
        </xdr:cNvPr>
        <xdr:cNvCxnSpPr>
          <a:cxnSpLocks noChangeShapeType="1"/>
          <a:stCxn id="7287085" idx="6"/>
          <a:endCxn id="7287088" idx="2"/>
        </xdr:cNvCxnSpPr>
      </xdr:nvCxnSpPr>
      <xdr:spPr bwMode="auto">
        <a:xfrm>
          <a:off x="12668250" y="35856863"/>
          <a:ext cx="528638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33</xdr:col>
      <xdr:colOff>1550</xdr:colOff>
      <xdr:row>134</xdr:row>
      <xdr:rowOff>45364</xdr:rowOff>
    </xdr:from>
    <xdr:ext cx="303673" cy="170560"/>
    <xdr:sp macro="" textlink="">
      <xdr:nvSpPr>
        <xdr:cNvPr id="5212" name="Text Box 92">
          <a:extLst>
            <a:ext uri="{FF2B5EF4-FFF2-40B4-BE49-F238E27FC236}">
              <a16:creationId xmlns:a16="http://schemas.microsoft.com/office/drawing/2014/main" id="{10617445-FAB2-4DD0-9F08-6FA49D14C10B}"/>
            </a:ext>
          </a:extLst>
        </xdr:cNvPr>
        <xdr:cNvSpPr txBox="1">
          <a:spLocks noChangeArrowheads="1"/>
        </xdr:cNvSpPr>
      </xdr:nvSpPr>
      <xdr:spPr bwMode="auto">
        <a:xfrm>
          <a:off x="12737036" y="3561843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1.2.3</a:t>
          </a:r>
        </a:p>
      </xdr:txBody>
    </xdr:sp>
    <xdr:clientData/>
  </xdr:oneCellAnchor>
  <xdr:twoCellAnchor>
    <xdr:from>
      <xdr:col>38</xdr:col>
      <xdr:colOff>78423</xdr:colOff>
      <xdr:row>134</xdr:row>
      <xdr:rowOff>134620</xdr:rowOff>
    </xdr:from>
    <xdr:to>
      <xdr:col>39</xdr:col>
      <xdr:colOff>132806</xdr:colOff>
      <xdr:row>136</xdr:row>
      <xdr:rowOff>29775</xdr:rowOff>
    </xdr:to>
    <xdr:sp macro="" textlink="">
      <xdr:nvSpPr>
        <xdr:cNvPr id="7287091" name="Oval 93">
          <a:extLst>
            <a:ext uri="{FF2B5EF4-FFF2-40B4-BE49-F238E27FC236}">
              <a16:creationId xmlns:a16="http://schemas.microsoft.com/office/drawing/2014/main" id="{E3B9FD0D-F09A-4F0F-8398-CA2F8542A187}"/>
            </a:ext>
          </a:extLst>
        </xdr:cNvPr>
        <xdr:cNvSpPr>
          <a:spLocks noChangeArrowheads="1"/>
        </xdr:cNvSpPr>
      </xdr:nvSpPr>
      <xdr:spPr bwMode="auto">
        <a:xfrm>
          <a:off x="14909800" y="359537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35</xdr:col>
      <xdr:colOff>257175</xdr:colOff>
      <xdr:row>135</xdr:row>
      <xdr:rowOff>95250</xdr:rowOff>
    </xdr:from>
    <xdr:to>
      <xdr:col>38</xdr:col>
      <xdr:colOff>80963</xdr:colOff>
      <xdr:row>135</xdr:row>
      <xdr:rowOff>95250</xdr:rowOff>
    </xdr:to>
    <xdr:cxnSp macro="">
      <xdr:nvCxnSpPr>
        <xdr:cNvPr id="8453224" name="AutoShape 95">
          <a:extLst>
            <a:ext uri="{FF2B5EF4-FFF2-40B4-BE49-F238E27FC236}">
              <a16:creationId xmlns:a16="http://schemas.microsoft.com/office/drawing/2014/main" id="{FE27FCAD-3374-4892-936E-77A42B2762CB}"/>
            </a:ext>
          </a:extLst>
        </xdr:cNvPr>
        <xdr:cNvCxnSpPr>
          <a:cxnSpLocks noChangeShapeType="1"/>
          <a:stCxn id="7287088" idx="6"/>
          <a:endCxn id="7287091" idx="2"/>
        </xdr:cNvCxnSpPr>
      </xdr:nvCxnSpPr>
      <xdr:spPr bwMode="auto">
        <a:xfrm>
          <a:off x="13482638" y="35856863"/>
          <a:ext cx="57626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36</xdr:col>
      <xdr:colOff>118111</xdr:colOff>
      <xdr:row>134</xdr:row>
      <xdr:rowOff>47269</xdr:rowOff>
    </xdr:from>
    <xdr:ext cx="303673" cy="170560"/>
    <xdr:sp macro="" textlink="">
      <xdr:nvSpPr>
        <xdr:cNvPr id="5216" name="Text Box 96">
          <a:extLst>
            <a:ext uri="{FF2B5EF4-FFF2-40B4-BE49-F238E27FC236}">
              <a16:creationId xmlns:a16="http://schemas.microsoft.com/office/drawing/2014/main" id="{F6FE0E4B-1DB0-4182-B485-7D4D90A03506}"/>
            </a:ext>
          </a:extLst>
        </xdr:cNvPr>
        <xdr:cNvSpPr txBox="1">
          <a:spLocks noChangeArrowheads="1"/>
        </xdr:cNvSpPr>
      </xdr:nvSpPr>
      <xdr:spPr bwMode="auto">
        <a:xfrm>
          <a:off x="13593185" y="35620343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1.2.4</a:t>
          </a:r>
        </a:p>
      </xdr:txBody>
    </xdr:sp>
    <xdr:clientData/>
  </xdr:oneCellAnchor>
  <xdr:twoCellAnchor>
    <xdr:from>
      <xdr:col>21</xdr:col>
      <xdr:colOff>1849</xdr:colOff>
      <xdr:row>134</xdr:row>
      <xdr:rowOff>106362</xdr:rowOff>
    </xdr:from>
    <xdr:to>
      <xdr:col>22</xdr:col>
      <xdr:colOff>61708</xdr:colOff>
      <xdr:row>136</xdr:row>
      <xdr:rowOff>30582</xdr:rowOff>
    </xdr:to>
    <xdr:sp macro="" textlink="">
      <xdr:nvSpPr>
        <xdr:cNvPr id="7287094" name="Oval 97">
          <a:extLst>
            <a:ext uri="{FF2B5EF4-FFF2-40B4-BE49-F238E27FC236}">
              <a16:creationId xmlns:a16="http://schemas.microsoft.com/office/drawing/2014/main" id="{61570ADC-0BC6-46DE-97FF-552C4403C4A0}"/>
            </a:ext>
          </a:extLst>
        </xdr:cNvPr>
        <xdr:cNvSpPr>
          <a:spLocks noChangeArrowheads="1"/>
        </xdr:cNvSpPr>
      </xdr:nvSpPr>
      <xdr:spPr bwMode="auto">
        <a:xfrm>
          <a:off x="10668000" y="359283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17</xdr:col>
      <xdr:colOff>354</xdr:colOff>
      <xdr:row>134</xdr:row>
      <xdr:rowOff>106362</xdr:rowOff>
    </xdr:from>
    <xdr:to>
      <xdr:col>18</xdr:col>
      <xdr:colOff>35484</xdr:colOff>
      <xdr:row>136</xdr:row>
      <xdr:rowOff>30582</xdr:rowOff>
    </xdr:to>
    <xdr:sp macro="" textlink="">
      <xdr:nvSpPr>
        <xdr:cNvPr id="7287095" name="Oval 98">
          <a:extLst>
            <a:ext uri="{FF2B5EF4-FFF2-40B4-BE49-F238E27FC236}">
              <a16:creationId xmlns:a16="http://schemas.microsoft.com/office/drawing/2014/main" id="{84715A74-5A28-41D6-BD01-31E5F2FD6EF3}"/>
            </a:ext>
          </a:extLst>
        </xdr:cNvPr>
        <xdr:cNvSpPr>
          <a:spLocks noChangeArrowheads="1"/>
        </xdr:cNvSpPr>
      </xdr:nvSpPr>
      <xdr:spPr bwMode="auto">
        <a:xfrm>
          <a:off x="9740900" y="35928300"/>
          <a:ext cx="2921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18</xdr:col>
      <xdr:colOff>61913</xdr:colOff>
      <xdr:row>135</xdr:row>
      <xdr:rowOff>57150</xdr:rowOff>
    </xdr:from>
    <xdr:to>
      <xdr:col>20</xdr:col>
      <xdr:colOff>271463</xdr:colOff>
      <xdr:row>135</xdr:row>
      <xdr:rowOff>57150</xdr:rowOff>
    </xdr:to>
    <xdr:cxnSp macro="">
      <xdr:nvCxnSpPr>
        <xdr:cNvPr id="8453228" name="AutoShape 99">
          <a:extLst>
            <a:ext uri="{FF2B5EF4-FFF2-40B4-BE49-F238E27FC236}">
              <a16:creationId xmlns:a16="http://schemas.microsoft.com/office/drawing/2014/main" id="{70C7A5D5-253A-4022-8394-D603439DEF67}"/>
            </a:ext>
          </a:extLst>
        </xdr:cNvPr>
        <xdr:cNvCxnSpPr>
          <a:cxnSpLocks noChangeShapeType="1"/>
          <a:stCxn id="7287095" idx="6"/>
          <a:endCxn id="7287094" idx="2"/>
        </xdr:cNvCxnSpPr>
      </xdr:nvCxnSpPr>
      <xdr:spPr bwMode="auto">
        <a:xfrm>
          <a:off x="9505950" y="35818763"/>
          <a:ext cx="595313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19</xdr:col>
      <xdr:colOff>38</xdr:colOff>
      <xdr:row>134</xdr:row>
      <xdr:rowOff>243</xdr:rowOff>
    </xdr:from>
    <xdr:ext cx="303673" cy="170560"/>
    <xdr:sp macro="" textlink="">
      <xdr:nvSpPr>
        <xdr:cNvPr id="5220" name="Text Box 100">
          <a:extLst>
            <a:ext uri="{FF2B5EF4-FFF2-40B4-BE49-F238E27FC236}">
              <a16:creationId xmlns:a16="http://schemas.microsoft.com/office/drawing/2014/main" id="{DE9B907A-27FF-4A5F-90ED-368940EDE32B}"/>
            </a:ext>
          </a:extLst>
        </xdr:cNvPr>
        <xdr:cNvSpPr txBox="1">
          <a:spLocks noChangeArrowheads="1"/>
        </xdr:cNvSpPr>
      </xdr:nvSpPr>
      <xdr:spPr bwMode="auto">
        <a:xfrm>
          <a:off x="9687524" y="355733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1.2.5</a:t>
          </a:r>
        </a:p>
      </xdr:txBody>
    </xdr:sp>
    <xdr:clientData/>
  </xdr:oneCellAnchor>
  <xdr:twoCellAnchor>
    <xdr:from>
      <xdr:col>16</xdr:col>
      <xdr:colOff>61913</xdr:colOff>
      <xdr:row>135</xdr:row>
      <xdr:rowOff>57150</xdr:rowOff>
    </xdr:from>
    <xdr:to>
      <xdr:col>16</xdr:col>
      <xdr:colOff>371475</xdr:colOff>
      <xdr:row>154</xdr:row>
      <xdr:rowOff>23813</xdr:rowOff>
    </xdr:to>
    <xdr:cxnSp macro="">
      <xdr:nvCxnSpPr>
        <xdr:cNvPr id="8453230" name="AutoShape 105">
          <a:extLst>
            <a:ext uri="{FF2B5EF4-FFF2-40B4-BE49-F238E27FC236}">
              <a16:creationId xmlns:a16="http://schemas.microsoft.com/office/drawing/2014/main" id="{E598C92D-5F98-4138-8A9F-5281C8C3D5F1}"/>
            </a:ext>
          </a:extLst>
        </xdr:cNvPr>
        <xdr:cNvCxnSpPr>
          <a:cxnSpLocks noChangeShapeType="1"/>
          <a:stCxn id="7287029" idx="0"/>
          <a:endCxn id="7287095" idx="2"/>
        </xdr:cNvCxnSpPr>
      </xdr:nvCxnSpPr>
      <xdr:spPr bwMode="auto">
        <a:xfrm rot="-5400000">
          <a:off x="7610475" y="37257038"/>
          <a:ext cx="3043237" cy="1666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33338</xdr:colOff>
      <xdr:row>155</xdr:row>
      <xdr:rowOff>152400</xdr:rowOff>
    </xdr:from>
    <xdr:to>
      <xdr:col>12</xdr:col>
      <xdr:colOff>33338</xdr:colOff>
      <xdr:row>161</xdr:row>
      <xdr:rowOff>228600</xdr:rowOff>
    </xdr:to>
    <xdr:cxnSp macro="">
      <xdr:nvCxnSpPr>
        <xdr:cNvPr id="8453231" name="AutoShape 108">
          <a:extLst>
            <a:ext uri="{FF2B5EF4-FFF2-40B4-BE49-F238E27FC236}">
              <a16:creationId xmlns:a16="http://schemas.microsoft.com/office/drawing/2014/main" id="{A0B10AC4-FFFC-4C01-BEC6-F44FB448D90A}"/>
            </a:ext>
          </a:extLst>
        </xdr:cNvPr>
        <xdr:cNvCxnSpPr>
          <a:cxnSpLocks noChangeShapeType="1"/>
          <a:stCxn id="7287039" idx="4"/>
          <a:endCxn id="7287004" idx="0"/>
        </xdr:cNvCxnSpPr>
      </xdr:nvCxnSpPr>
      <xdr:spPr bwMode="auto">
        <a:xfrm>
          <a:off x="8220075" y="39152513"/>
          <a:ext cx="0" cy="9810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2951</xdr:colOff>
      <xdr:row>175</xdr:row>
      <xdr:rowOff>91122</xdr:rowOff>
    </xdr:from>
    <xdr:to>
      <xdr:col>13</xdr:col>
      <xdr:colOff>1539</xdr:colOff>
      <xdr:row>177</xdr:row>
      <xdr:rowOff>8501</xdr:rowOff>
    </xdr:to>
    <xdr:sp macro="" textlink="">
      <xdr:nvSpPr>
        <xdr:cNvPr id="7287100" name="Oval 109">
          <a:extLst>
            <a:ext uri="{FF2B5EF4-FFF2-40B4-BE49-F238E27FC236}">
              <a16:creationId xmlns:a16="http://schemas.microsoft.com/office/drawing/2014/main" id="{379773B5-827B-4596-99A9-E469EE3958AF}"/>
            </a:ext>
          </a:extLst>
        </xdr:cNvPr>
        <xdr:cNvSpPr>
          <a:spLocks noChangeArrowheads="1"/>
        </xdr:cNvSpPr>
      </xdr:nvSpPr>
      <xdr:spPr bwMode="auto">
        <a:xfrm>
          <a:off x="8636000" y="426974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7</xdr:col>
      <xdr:colOff>165417</xdr:colOff>
      <xdr:row>175</xdr:row>
      <xdr:rowOff>91122</xdr:rowOff>
    </xdr:from>
    <xdr:to>
      <xdr:col>9</xdr:col>
      <xdr:colOff>6856</xdr:colOff>
      <xdr:row>177</xdr:row>
      <xdr:rowOff>8501</xdr:rowOff>
    </xdr:to>
    <xdr:sp macro="" textlink="">
      <xdr:nvSpPr>
        <xdr:cNvPr id="7287101" name="Oval 110">
          <a:extLst>
            <a:ext uri="{FF2B5EF4-FFF2-40B4-BE49-F238E27FC236}">
              <a16:creationId xmlns:a16="http://schemas.microsoft.com/office/drawing/2014/main" id="{469CB1BE-BB02-4418-A897-5D918AE9BA7E}"/>
            </a:ext>
          </a:extLst>
        </xdr:cNvPr>
        <xdr:cNvSpPr>
          <a:spLocks noChangeArrowheads="1"/>
        </xdr:cNvSpPr>
      </xdr:nvSpPr>
      <xdr:spPr bwMode="auto">
        <a:xfrm>
          <a:off x="7759700" y="426974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238125</xdr:colOff>
      <xdr:row>176</xdr:row>
      <xdr:rowOff>23813</xdr:rowOff>
    </xdr:from>
    <xdr:to>
      <xdr:col>11</xdr:col>
      <xdr:colOff>261938</xdr:colOff>
      <xdr:row>176</xdr:row>
      <xdr:rowOff>23813</xdr:rowOff>
    </xdr:to>
    <xdr:cxnSp macro="">
      <xdr:nvCxnSpPr>
        <xdr:cNvPr id="8453234" name="AutoShape 111">
          <a:extLst>
            <a:ext uri="{FF2B5EF4-FFF2-40B4-BE49-F238E27FC236}">
              <a16:creationId xmlns:a16="http://schemas.microsoft.com/office/drawing/2014/main" id="{BC83F762-2CA9-4C25-9784-512B45487D2A}"/>
            </a:ext>
          </a:extLst>
        </xdr:cNvPr>
        <xdr:cNvCxnSpPr>
          <a:cxnSpLocks noChangeShapeType="1"/>
          <a:stCxn id="7287101" idx="6"/>
          <a:endCxn id="7287100" idx="2"/>
        </xdr:cNvCxnSpPr>
      </xdr:nvCxnSpPr>
      <xdr:spPr bwMode="auto">
        <a:xfrm>
          <a:off x="7586663" y="42424350"/>
          <a:ext cx="6000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69534</xdr:colOff>
      <xdr:row>174</xdr:row>
      <xdr:rowOff>148272</xdr:rowOff>
    </xdr:from>
    <xdr:ext cx="303673" cy="170560"/>
    <xdr:sp macro="" textlink="">
      <xdr:nvSpPr>
        <xdr:cNvPr id="5232" name="Text Box 112">
          <a:extLst>
            <a:ext uri="{FF2B5EF4-FFF2-40B4-BE49-F238E27FC236}">
              <a16:creationId xmlns:a16="http://schemas.microsoft.com/office/drawing/2014/main" id="{0B018704-C19F-4814-875D-FFA92F7A2485}"/>
            </a:ext>
          </a:extLst>
        </xdr:cNvPr>
        <xdr:cNvSpPr txBox="1">
          <a:spLocks noChangeArrowheads="1"/>
        </xdr:cNvSpPr>
      </xdr:nvSpPr>
      <xdr:spPr bwMode="auto">
        <a:xfrm>
          <a:off x="7655916" y="42220758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3.5.1</a:t>
          </a:r>
        </a:p>
      </xdr:txBody>
    </xdr:sp>
    <xdr:clientData/>
  </xdr:oneCellAnchor>
  <xdr:twoCellAnchor>
    <xdr:from>
      <xdr:col>12</xdr:col>
      <xdr:colOff>2951</xdr:colOff>
      <xdr:row>170</xdr:row>
      <xdr:rowOff>144462</xdr:rowOff>
    </xdr:from>
    <xdr:to>
      <xdr:col>13</xdr:col>
      <xdr:colOff>1539</xdr:colOff>
      <xdr:row>172</xdr:row>
      <xdr:rowOff>103594</xdr:rowOff>
    </xdr:to>
    <xdr:sp macro="" textlink="">
      <xdr:nvSpPr>
        <xdr:cNvPr id="7287104" name="Oval 113">
          <a:extLst>
            <a:ext uri="{FF2B5EF4-FFF2-40B4-BE49-F238E27FC236}">
              <a16:creationId xmlns:a16="http://schemas.microsoft.com/office/drawing/2014/main" id="{7A8314FB-87E4-4D28-9338-5A9EE4A4D342}"/>
            </a:ext>
          </a:extLst>
        </xdr:cNvPr>
        <xdr:cNvSpPr>
          <a:spLocks noChangeArrowheads="1"/>
        </xdr:cNvSpPr>
      </xdr:nvSpPr>
      <xdr:spPr bwMode="auto">
        <a:xfrm>
          <a:off x="8636000" y="41910000"/>
          <a:ext cx="241300" cy="2921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12</xdr:col>
      <xdr:colOff>104775</xdr:colOff>
      <xdr:row>172</xdr:row>
      <xdr:rowOff>95250</xdr:rowOff>
    </xdr:from>
    <xdr:to>
      <xdr:col>12</xdr:col>
      <xdr:colOff>104775</xdr:colOff>
      <xdr:row>175</xdr:row>
      <xdr:rowOff>95250</xdr:rowOff>
    </xdr:to>
    <xdr:cxnSp macro="">
      <xdr:nvCxnSpPr>
        <xdr:cNvPr id="8453237" name="AutoShape 114">
          <a:extLst>
            <a:ext uri="{FF2B5EF4-FFF2-40B4-BE49-F238E27FC236}">
              <a16:creationId xmlns:a16="http://schemas.microsoft.com/office/drawing/2014/main" id="{2BF0A28F-0B3A-4C10-9483-946997EFF82C}"/>
            </a:ext>
          </a:extLst>
        </xdr:cNvPr>
        <xdr:cNvCxnSpPr>
          <a:cxnSpLocks noChangeShapeType="1"/>
          <a:stCxn id="7287100" idx="0"/>
          <a:endCxn id="7287104" idx="4"/>
        </xdr:cNvCxnSpPr>
      </xdr:nvCxnSpPr>
      <xdr:spPr bwMode="auto">
        <a:xfrm flipV="1">
          <a:off x="8291513" y="41848088"/>
          <a:ext cx="0" cy="485775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12</xdr:col>
      <xdr:colOff>167323</xdr:colOff>
      <xdr:row>173</xdr:row>
      <xdr:rowOff>129857</xdr:rowOff>
    </xdr:from>
    <xdr:ext cx="303673" cy="170560"/>
    <xdr:sp macro="" textlink="">
      <xdr:nvSpPr>
        <xdr:cNvPr id="5235" name="Text Box 115">
          <a:extLst>
            <a:ext uri="{FF2B5EF4-FFF2-40B4-BE49-F238E27FC236}">
              <a16:creationId xmlns:a16="http://schemas.microsoft.com/office/drawing/2014/main" id="{EB3C7EDB-775B-4033-9A78-388FF5C74374}"/>
            </a:ext>
          </a:extLst>
        </xdr:cNvPr>
        <xdr:cNvSpPr txBox="1">
          <a:spLocks noChangeArrowheads="1"/>
        </xdr:cNvSpPr>
      </xdr:nvSpPr>
      <xdr:spPr bwMode="auto">
        <a:xfrm>
          <a:off x="8358823" y="42039857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3.5.2</a:t>
          </a:r>
        </a:p>
      </xdr:txBody>
    </xdr:sp>
    <xdr:clientData/>
  </xdr:oneCellAnchor>
  <xdr:twoCellAnchor>
    <xdr:from>
      <xdr:col>12</xdr:col>
      <xdr:colOff>2951</xdr:colOff>
      <xdr:row>166</xdr:row>
      <xdr:rowOff>24130</xdr:rowOff>
    </xdr:from>
    <xdr:to>
      <xdr:col>13</xdr:col>
      <xdr:colOff>1539</xdr:colOff>
      <xdr:row>167</xdr:row>
      <xdr:rowOff>136815</xdr:rowOff>
    </xdr:to>
    <xdr:sp macro="" textlink="">
      <xdr:nvSpPr>
        <xdr:cNvPr id="7287107" name="Oval 116">
          <a:extLst>
            <a:ext uri="{FF2B5EF4-FFF2-40B4-BE49-F238E27FC236}">
              <a16:creationId xmlns:a16="http://schemas.microsoft.com/office/drawing/2014/main" id="{6BB2C6C8-CE56-45CD-AA68-070C97119358}"/>
            </a:ext>
          </a:extLst>
        </xdr:cNvPr>
        <xdr:cNvSpPr>
          <a:spLocks noChangeArrowheads="1"/>
        </xdr:cNvSpPr>
      </xdr:nvSpPr>
      <xdr:spPr bwMode="auto">
        <a:xfrm>
          <a:off x="8636000" y="411607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12</xdr:col>
      <xdr:colOff>104775</xdr:colOff>
      <xdr:row>167</xdr:row>
      <xdr:rowOff>152400</xdr:rowOff>
    </xdr:from>
    <xdr:to>
      <xdr:col>12</xdr:col>
      <xdr:colOff>104775</xdr:colOff>
      <xdr:row>170</xdr:row>
      <xdr:rowOff>152400</xdr:rowOff>
    </xdr:to>
    <xdr:cxnSp macro="">
      <xdr:nvCxnSpPr>
        <xdr:cNvPr id="8453240" name="AutoShape 117">
          <a:extLst>
            <a:ext uri="{FF2B5EF4-FFF2-40B4-BE49-F238E27FC236}">
              <a16:creationId xmlns:a16="http://schemas.microsoft.com/office/drawing/2014/main" id="{DBBB5981-559B-453B-8232-9C38F894775E}"/>
            </a:ext>
          </a:extLst>
        </xdr:cNvPr>
        <xdr:cNvCxnSpPr>
          <a:cxnSpLocks noChangeShapeType="1"/>
          <a:stCxn id="7287104" idx="0"/>
          <a:endCxn id="7287107" idx="4"/>
        </xdr:cNvCxnSpPr>
      </xdr:nvCxnSpPr>
      <xdr:spPr bwMode="auto">
        <a:xfrm flipV="1">
          <a:off x="8291513" y="41095613"/>
          <a:ext cx="0" cy="485775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4538</xdr:colOff>
      <xdr:row>168</xdr:row>
      <xdr:rowOff>148590</xdr:rowOff>
    </xdr:from>
    <xdr:ext cx="303673" cy="170560"/>
    <xdr:sp macro="" textlink="">
      <xdr:nvSpPr>
        <xdr:cNvPr id="5238" name="Text Box 118">
          <a:extLst>
            <a:ext uri="{FF2B5EF4-FFF2-40B4-BE49-F238E27FC236}">
              <a16:creationId xmlns:a16="http://schemas.microsoft.com/office/drawing/2014/main" id="{5DE5B980-FCFF-4234-BA42-26AF813FF60C}"/>
            </a:ext>
          </a:extLst>
        </xdr:cNvPr>
        <xdr:cNvSpPr txBox="1">
          <a:spLocks noChangeArrowheads="1"/>
        </xdr:cNvSpPr>
      </xdr:nvSpPr>
      <xdr:spPr bwMode="auto">
        <a:xfrm>
          <a:off x="8397744" y="41246164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3.5.3</a:t>
          </a:r>
        </a:p>
      </xdr:txBody>
    </xdr:sp>
    <xdr:clientData/>
  </xdr:oneCellAnchor>
  <xdr:twoCellAnchor>
    <xdr:from>
      <xdr:col>12</xdr:col>
      <xdr:colOff>261938</xdr:colOff>
      <xdr:row>163</xdr:row>
      <xdr:rowOff>95250</xdr:rowOff>
    </xdr:from>
    <xdr:to>
      <xdr:col>15</xdr:col>
      <xdr:colOff>261938</xdr:colOff>
      <xdr:row>166</xdr:row>
      <xdr:rowOff>95250</xdr:rowOff>
    </xdr:to>
    <xdr:cxnSp macro="">
      <xdr:nvCxnSpPr>
        <xdr:cNvPr id="8453242" name="AutoShape 119">
          <a:extLst>
            <a:ext uri="{FF2B5EF4-FFF2-40B4-BE49-F238E27FC236}">
              <a16:creationId xmlns:a16="http://schemas.microsoft.com/office/drawing/2014/main" id="{D36F5CB3-76C5-4589-997D-8A20B9FAF105}"/>
            </a:ext>
          </a:extLst>
        </xdr:cNvPr>
        <xdr:cNvCxnSpPr>
          <a:cxnSpLocks noChangeShapeType="1"/>
          <a:stCxn id="7287107" idx="7"/>
          <a:endCxn id="7287005" idx="3"/>
        </xdr:cNvCxnSpPr>
      </xdr:nvCxnSpPr>
      <xdr:spPr bwMode="auto">
        <a:xfrm flipV="1">
          <a:off x="8386763" y="40390763"/>
          <a:ext cx="600075" cy="4857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12</xdr:col>
      <xdr:colOff>51119</xdr:colOff>
      <xdr:row>164</xdr:row>
      <xdr:rowOff>109855</xdr:rowOff>
    </xdr:from>
    <xdr:ext cx="303673" cy="170560"/>
    <xdr:sp macro="" textlink="">
      <xdr:nvSpPr>
        <xdr:cNvPr id="5240" name="Text Box 120">
          <a:extLst>
            <a:ext uri="{FF2B5EF4-FFF2-40B4-BE49-F238E27FC236}">
              <a16:creationId xmlns:a16="http://schemas.microsoft.com/office/drawing/2014/main" id="{FC513AA7-A914-43EF-BF0F-68FECF8D904B}"/>
            </a:ext>
          </a:extLst>
        </xdr:cNvPr>
        <xdr:cNvSpPr txBox="1">
          <a:spLocks noChangeArrowheads="1"/>
        </xdr:cNvSpPr>
      </xdr:nvSpPr>
      <xdr:spPr bwMode="auto">
        <a:xfrm>
          <a:off x="8242619" y="40557488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3.5.4</a:t>
          </a:r>
        </a:p>
      </xdr:txBody>
    </xdr:sp>
    <xdr:clientData/>
  </xdr:oneCellAnchor>
  <xdr:twoCellAnchor>
    <xdr:from>
      <xdr:col>16</xdr:col>
      <xdr:colOff>6761</xdr:colOff>
      <xdr:row>98</xdr:row>
      <xdr:rowOff>147002</xdr:rowOff>
    </xdr:from>
    <xdr:to>
      <xdr:col>17</xdr:col>
      <xdr:colOff>9643</xdr:colOff>
      <xdr:row>100</xdr:row>
      <xdr:rowOff>26296</xdr:rowOff>
    </xdr:to>
    <xdr:sp macro="" textlink="">
      <xdr:nvSpPr>
        <xdr:cNvPr id="7287112" name="Oval 121">
          <a:extLst>
            <a:ext uri="{FF2B5EF4-FFF2-40B4-BE49-F238E27FC236}">
              <a16:creationId xmlns:a16="http://schemas.microsoft.com/office/drawing/2014/main" id="{EF9985D8-5FB5-4BD4-82B1-C31101AC6D0D}"/>
            </a:ext>
          </a:extLst>
        </xdr:cNvPr>
        <xdr:cNvSpPr>
          <a:spLocks noChangeArrowheads="1"/>
        </xdr:cNvSpPr>
      </xdr:nvSpPr>
      <xdr:spPr bwMode="auto">
        <a:xfrm>
          <a:off x="9410700" y="300101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93028</xdr:colOff>
      <xdr:row>98</xdr:row>
      <xdr:rowOff>147002</xdr:rowOff>
    </xdr:from>
    <xdr:to>
      <xdr:col>20</xdr:col>
      <xdr:colOff>174377</xdr:colOff>
      <xdr:row>100</xdr:row>
      <xdr:rowOff>26296</xdr:rowOff>
    </xdr:to>
    <xdr:sp macro="" textlink="">
      <xdr:nvSpPr>
        <xdr:cNvPr id="7287113" name="Oval 122">
          <a:extLst>
            <a:ext uri="{FF2B5EF4-FFF2-40B4-BE49-F238E27FC236}">
              <a16:creationId xmlns:a16="http://schemas.microsoft.com/office/drawing/2014/main" id="{371D7425-E3AF-40E6-BB70-F2F62238CA76}"/>
            </a:ext>
          </a:extLst>
        </xdr:cNvPr>
        <xdr:cNvSpPr>
          <a:spLocks noChangeArrowheads="1"/>
        </xdr:cNvSpPr>
      </xdr:nvSpPr>
      <xdr:spPr bwMode="auto">
        <a:xfrm>
          <a:off x="10312400" y="30010100"/>
          <a:ext cx="2794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242888</xdr:colOff>
      <xdr:row>99</xdr:row>
      <xdr:rowOff>95250</xdr:rowOff>
    </xdr:from>
    <xdr:to>
      <xdr:col>19</xdr:col>
      <xdr:colOff>85725</xdr:colOff>
      <xdr:row>99</xdr:row>
      <xdr:rowOff>95250</xdr:rowOff>
    </xdr:to>
    <xdr:cxnSp macro="">
      <xdr:nvCxnSpPr>
        <xdr:cNvPr id="8453246" name="AutoShape 123">
          <a:extLst>
            <a:ext uri="{FF2B5EF4-FFF2-40B4-BE49-F238E27FC236}">
              <a16:creationId xmlns:a16="http://schemas.microsoft.com/office/drawing/2014/main" id="{E7FE1C1D-D36F-477E-8F1D-36A27233E684}"/>
            </a:ext>
          </a:extLst>
        </xdr:cNvPr>
        <xdr:cNvCxnSpPr>
          <a:cxnSpLocks noChangeShapeType="1"/>
          <a:stCxn id="7287112" idx="6"/>
          <a:endCxn id="7287113" idx="2"/>
        </xdr:cNvCxnSpPr>
      </xdr:nvCxnSpPr>
      <xdr:spPr bwMode="auto">
        <a:xfrm>
          <a:off x="9215438" y="30027563"/>
          <a:ext cx="54292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116840</xdr:colOff>
      <xdr:row>98</xdr:row>
      <xdr:rowOff>52351</xdr:rowOff>
    </xdr:from>
    <xdr:ext cx="303673" cy="170560"/>
    <xdr:sp macro="" textlink="">
      <xdr:nvSpPr>
        <xdr:cNvPr id="5244" name="Text Box 124">
          <a:extLst>
            <a:ext uri="{FF2B5EF4-FFF2-40B4-BE49-F238E27FC236}">
              <a16:creationId xmlns:a16="http://schemas.microsoft.com/office/drawing/2014/main" id="{02702672-4C3D-4827-976D-8DDC18635FD6}"/>
            </a:ext>
          </a:extLst>
        </xdr:cNvPr>
        <xdr:cNvSpPr txBox="1">
          <a:spLocks noChangeArrowheads="1"/>
        </xdr:cNvSpPr>
      </xdr:nvSpPr>
      <xdr:spPr bwMode="auto">
        <a:xfrm>
          <a:off x="9344885" y="29775955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3.4.3</a:t>
          </a:r>
        </a:p>
      </xdr:txBody>
    </xdr:sp>
    <xdr:clientData/>
  </xdr:oneCellAnchor>
  <xdr:twoCellAnchor>
    <xdr:from>
      <xdr:col>11</xdr:col>
      <xdr:colOff>172085</xdr:colOff>
      <xdr:row>98</xdr:row>
      <xdr:rowOff>147002</xdr:rowOff>
    </xdr:from>
    <xdr:to>
      <xdr:col>13</xdr:col>
      <xdr:colOff>2840</xdr:colOff>
      <xdr:row>100</xdr:row>
      <xdr:rowOff>26296</xdr:rowOff>
    </xdr:to>
    <xdr:sp macro="" textlink="">
      <xdr:nvSpPr>
        <xdr:cNvPr id="7287116" name="Oval 125">
          <a:extLst>
            <a:ext uri="{FF2B5EF4-FFF2-40B4-BE49-F238E27FC236}">
              <a16:creationId xmlns:a16="http://schemas.microsoft.com/office/drawing/2014/main" id="{CAFFA93C-1605-4ACE-A9F0-3B7AB6AABD0A}"/>
            </a:ext>
          </a:extLst>
        </xdr:cNvPr>
        <xdr:cNvSpPr>
          <a:spLocks noChangeArrowheads="1"/>
        </xdr:cNvSpPr>
      </xdr:nvSpPr>
      <xdr:spPr bwMode="auto">
        <a:xfrm>
          <a:off x="8572500" y="300101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7</xdr:col>
      <xdr:colOff>165417</xdr:colOff>
      <xdr:row>98</xdr:row>
      <xdr:rowOff>147002</xdr:rowOff>
    </xdr:from>
    <xdr:to>
      <xdr:col>9</xdr:col>
      <xdr:colOff>1139</xdr:colOff>
      <xdr:row>100</xdr:row>
      <xdr:rowOff>26296</xdr:rowOff>
    </xdr:to>
    <xdr:sp macro="" textlink="">
      <xdr:nvSpPr>
        <xdr:cNvPr id="7287117" name="Oval 126">
          <a:extLst>
            <a:ext uri="{FF2B5EF4-FFF2-40B4-BE49-F238E27FC236}">
              <a16:creationId xmlns:a16="http://schemas.microsoft.com/office/drawing/2014/main" id="{1CB2320B-1996-45F1-A535-7D61DB5EF8AC}"/>
            </a:ext>
          </a:extLst>
        </xdr:cNvPr>
        <xdr:cNvSpPr>
          <a:spLocks noChangeArrowheads="1"/>
        </xdr:cNvSpPr>
      </xdr:nvSpPr>
      <xdr:spPr bwMode="auto">
        <a:xfrm>
          <a:off x="7759700" y="300101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214313</xdr:colOff>
      <xdr:row>99</xdr:row>
      <xdr:rowOff>95250</xdr:rowOff>
    </xdr:from>
    <xdr:to>
      <xdr:col>11</xdr:col>
      <xdr:colOff>161925</xdr:colOff>
      <xdr:row>99</xdr:row>
      <xdr:rowOff>95250</xdr:rowOff>
    </xdr:to>
    <xdr:cxnSp macro="">
      <xdr:nvCxnSpPr>
        <xdr:cNvPr id="8453250" name="AutoShape 127">
          <a:extLst>
            <a:ext uri="{FF2B5EF4-FFF2-40B4-BE49-F238E27FC236}">
              <a16:creationId xmlns:a16="http://schemas.microsoft.com/office/drawing/2014/main" id="{969CBFF2-D9AB-48CF-8D1A-C0D2B23B715A}"/>
            </a:ext>
          </a:extLst>
        </xdr:cNvPr>
        <xdr:cNvCxnSpPr>
          <a:cxnSpLocks noChangeShapeType="1"/>
          <a:stCxn id="7287117" idx="6"/>
          <a:endCxn id="7287116" idx="2"/>
        </xdr:cNvCxnSpPr>
      </xdr:nvCxnSpPr>
      <xdr:spPr bwMode="auto">
        <a:xfrm>
          <a:off x="7586663" y="30027563"/>
          <a:ext cx="5619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58104</xdr:colOff>
      <xdr:row>98</xdr:row>
      <xdr:rowOff>8853</xdr:rowOff>
    </xdr:from>
    <xdr:ext cx="303673" cy="170560"/>
    <xdr:sp macro="" textlink="">
      <xdr:nvSpPr>
        <xdr:cNvPr id="5248" name="Text Box 128">
          <a:extLst>
            <a:ext uri="{FF2B5EF4-FFF2-40B4-BE49-F238E27FC236}">
              <a16:creationId xmlns:a16="http://schemas.microsoft.com/office/drawing/2014/main" id="{BDB8051A-EA9B-4E11-9624-7B760314D181}"/>
            </a:ext>
          </a:extLst>
        </xdr:cNvPr>
        <xdr:cNvSpPr txBox="1">
          <a:spLocks noChangeArrowheads="1"/>
        </xdr:cNvSpPr>
      </xdr:nvSpPr>
      <xdr:spPr bwMode="auto">
        <a:xfrm>
          <a:off x="7644486" y="2973245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3.4.1</a:t>
          </a:r>
        </a:p>
      </xdr:txBody>
    </xdr:sp>
    <xdr:clientData/>
  </xdr:oneCellAnchor>
  <xdr:twoCellAnchor>
    <xdr:from>
      <xdr:col>12</xdr:col>
      <xdr:colOff>238125</xdr:colOff>
      <xdr:row>99</xdr:row>
      <xdr:rowOff>95250</xdr:rowOff>
    </xdr:from>
    <xdr:to>
      <xdr:col>15</xdr:col>
      <xdr:colOff>200025</xdr:colOff>
      <xdr:row>99</xdr:row>
      <xdr:rowOff>95250</xdr:rowOff>
    </xdr:to>
    <xdr:cxnSp macro="">
      <xdr:nvCxnSpPr>
        <xdr:cNvPr id="8453252" name="AutoShape 129">
          <a:extLst>
            <a:ext uri="{FF2B5EF4-FFF2-40B4-BE49-F238E27FC236}">
              <a16:creationId xmlns:a16="http://schemas.microsoft.com/office/drawing/2014/main" id="{8692476B-AF18-4E8E-BCC5-29609FCD5AA1}"/>
            </a:ext>
          </a:extLst>
        </xdr:cNvPr>
        <xdr:cNvCxnSpPr>
          <a:cxnSpLocks noChangeShapeType="1"/>
          <a:stCxn id="7287116" idx="6"/>
          <a:endCxn id="7287112" idx="2"/>
        </xdr:cNvCxnSpPr>
      </xdr:nvCxnSpPr>
      <xdr:spPr bwMode="auto">
        <a:xfrm>
          <a:off x="8386763" y="30027563"/>
          <a:ext cx="6000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50484</xdr:colOff>
      <xdr:row>98</xdr:row>
      <xdr:rowOff>8535</xdr:rowOff>
    </xdr:from>
    <xdr:ext cx="303673" cy="170560"/>
    <xdr:sp macro="" textlink="">
      <xdr:nvSpPr>
        <xdr:cNvPr id="5250" name="Text Box 130">
          <a:extLst>
            <a:ext uri="{FF2B5EF4-FFF2-40B4-BE49-F238E27FC236}">
              <a16:creationId xmlns:a16="http://schemas.microsoft.com/office/drawing/2014/main" id="{6AD16C43-948E-4D18-98E0-441193B19AF7}"/>
            </a:ext>
          </a:extLst>
        </xdr:cNvPr>
        <xdr:cNvSpPr txBox="1">
          <a:spLocks noChangeArrowheads="1"/>
        </xdr:cNvSpPr>
      </xdr:nvSpPr>
      <xdr:spPr bwMode="auto">
        <a:xfrm>
          <a:off x="8443690" y="29732139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3.4.2</a:t>
          </a:r>
        </a:p>
      </xdr:txBody>
    </xdr:sp>
    <xdr:clientData/>
  </xdr:oneCellAnchor>
  <xdr:twoCellAnchor>
    <xdr:from>
      <xdr:col>23</xdr:col>
      <xdr:colOff>11057</xdr:colOff>
      <xdr:row>98</xdr:row>
      <xdr:rowOff>147002</xdr:rowOff>
    </xdr:from>
    <xdr:to>
      <xdr:col>24</xdr:col>
      <xdr:colOff>13008</xdr:colOff>
      <xdr:row>100</xdr:row>
      <xdr:rowOff>26296</xdr:rowOff>
    </xdr:to>
    <xdr:sp macro="" textlink="">
      <xdr:nvSpPr>
        <xdr:cNvPr id="7287122" name="Oval 131">
          <a:extLst>
            <a:ext uri="{FF2B5EF4-FFF2-40B4-BE49-F238E27FC236}">
              <a16:creationId xmlns:a16="http://schemas.microsoft.com/office/drawing/2014/main" id="{F362EBE0-30DF-4F9C-895A-7FEB0832439B}"/>
            </a:ext>
          </a:extLst>
        </xdr:cNvPr>
        <xdr:cNvSpPr>
          <a:spLocks noChangeArrowheads="1"/>
        </xdr:cNvSpPr>
      </xdr:nvSpPr>
      <xdr:spPr bwMode="auto">
        <a:xfrm>
          <a:off x="11112500" y="300101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157163</xdr:colOff>
      <xdr:row>99</xdr:row>
      <xdr:rowOff>95250</xdr:rowOff>
    </xdr:from>
    <xdr:to>
      <xdr:col>22</xdr:col>
      <xdr:colOff>252413</xdr:colOff>
      <xdr:row>99</xdr:row>
      <xdr:rowOff>95250</xdr:rowOff>
    </xdr:to>
    <xdr:cxnSp macro="">
      <xdr:nvCxnSpPr>
        <xdr:cNvPr id="8453255" name="AutoShape 132">
          <a:extLst>
            <a:ext uri="{FF2B5EF4-FFF2-40B4-BE49-F238E27FC236}">
              <a16:creationId xmlns:a16="http://schemas.microsoft.com/office/drawing/2014/main" id="{3F3706E0-42B9-4933-8155-9C951FDF168A}"/>
            </a:ext>
          </a:extLst>
        </xdr:cNvPr>
        <xdr:cNvCxnSpPr>
          <a:cxnSpLocks noChangeShapeType="1"/>
          <a:stCxn id="7287113" idx="6"/>
          <a:endCxn id="7287122" idx="2"/>
        </xdr:cNvCxnSpPr>
      </xdr:nvCxnSpPr>
      <xdr:spPr bwMode="auto">
        <a:xfrm>
          <a:off x="10044113" y="30027563"/>
          <a:ext cx="4857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20</xdr:col>
      <xdr:colOff>193993</xdr:colOff>
      <xdr:row>98</xdr:row>
      <xdr:rowOff>59970</xdr:rowOff>
    </xdr:from>
    <xdr:ext cx="303673" cy="170560"/>
    <xdr:sp macro="" textlink="">
      <xdr:nvSpPr>
        <xdr:cNvPr id="5253" name="Text Box 133">
          <a:extLst>
            <a:ext uri="{FF2B5EF4-FFF2-40B4-BE49-F238E27FC236}">
              <a16:creationId xmlns:a16="http://schemas.microsoft.com/office/drawing/2014/main" id="{CD123D78-FE0E-4A5D-9E77-ADCEDB644BFD}"/>
            </a:ext>
          </a:extLst>
        </xdr:cNvPr>
        <xdr:cNvSpPr txBox="1">
          <a:spLocks noChangeArrowheads="1"/>
        </xdr:cNvSpPr>
      </xdr:nvSpPr>
      <xdr:spPr bwMode="auto">
        <a:xfrm>
          <a:off x="10094391" y="29783574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3.4.4</a:t>
          </a:r>
        </a:p>
      </xdr:txBody>
    </xdr:sp>
    <xdr:clientData/>
  </xdr:oneCellAnchor>
  <xdr:twoCellAnchor>
    <xdr:from>
      <xdr:col>27</xdr:col>
      <xdr:colOff>134302</xdr:colOff>
      <xdr:row>129</xdr:row>
      <xdr:rowOff>10086</xdr:rowOff>
    </xdr:from>
    <xdr:to>
      <xdr:col>28</xdr:col>
      <xdr:colOff>126063</xdr:colOff>
      <xdr:row>130</xdr:row>
      <xdr:rowOff>141253</xdr:rowOff>
    </xdr:to>
    <xdr:sp macro="" textlink="">
      <xdr:nvSpPr>
        <xdr:cNvPr id="7287125" name="Oval 134">
          <a:extLst>
            <a:ext uri="{FF2B5EF4-FFF2-40B4-BE49-F238E27FC236}">
              <a16:creationId xmlns:a16="http://schemas.microsoft.com/office/drawing/2014/main" id="{5D577DEF-57A0-45C6-AEDE-2854B7230F47}"/>
            </a:ext>
          </a:extLst>
        </xdr:cNvPr>
        <xdr:cNvSpPr>
          <a:spLocks noChangeArrowheads="1"/>
        </xdr:cNvSpPr>
      </xdr:nvSpPr>
      <xdr:spPr bwMode="auto">
        <a:xfrm>
          <a:off x="12153900" y="35026600"/>
          <a:ext cx="2413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129</xdr:row>
      <xdr:rowOff>10086</xdr:rowOff>
    </xdr:from>
    <xdr:to>
      <xdr:col>25</xdr:col>
      <xdr:colOff>10963</xdr:colOff>
      <xdr:row>130</xdr:row>
      <xdr:rowOff>141253</xdr:rowOff>
    </xdr:to>
    <xdr:sp macro="" textlink="">
      <xdr:nvSpPr>
        <xdr:cNvPr id="7287126" name="Oval 135">
          <a:extLst>
            <a:ext uri="{FF2B5EF4-FFF2-40B4-BE49-F238E27FC236}">
              <a16:creationId xmlns:a16="http://schemas.microsoft.com/office/drawing/2014/main" id="{28CA5D22-83E5-41FC-B013-5C243512B01C}"/>
            </a:ext>
          </a:extLst>
        </xdr:cNvPr>
        <xdr:cNvSpPr>
          <a:spLocks noChangeArrowheads="1"/>
        </xdr:cNvSpPr>
      </xdr:nvSpPr>
      <xdr:spPr bwMode="auto">
        <a:xfrm>
          <a:off x="11353800" y="350266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25</xdr:col>
      <xdr:colOff>0</xdr:colOff>
      <xdr:row>129</xdr:row>
      <xdr:rowOff>152400</xdr:rowOff>
    </xdr:from>
    <xdr:to>
      <xdr:col>27</xdr:col>
      <xdr:colOff>109538</xdr:colOff>
      <xdr:row>129</xdr:row>
      <xdr:rowOff>152400</xdr:rowOff>
    </xdr:to>
    <xdr:cxnSp macro="">
      <xdr:nvCxnSpPr>
        <xdr:cNvPr id="8453259" name="AutoShape 136">
          <a:extLst>
            <a:ext uri="{FF2B5EF4-FFF2-40B4-BE49-F238E27FC236}">
              <a16:creationId xmlns:a16="http://schemas.microsoft.com/office/drawing/2014/main" id="{884186F1-5727-4FC5-8CA0-3310DB0C39B0}"/>
            </a:ext>
          </a:extLst>
        </xdr:cNvPr>
        <xdr:cNvCxnSpPr>
          <a:cxnSpLocks noChangeShapeType="1"/>
          <a:stCxn id="7287126" idx="6"/>
          <a:endCxn id="7287125" idx="2"/>
        </xdr:cNvCxnSpPr>
      </xdr:nvCxnSpPr>
      <xdr:spPr bwMode="auto">
        <a:xfrm>
          <a:off x="10958513" y="34942463"/>
          <a:ext cx="53816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55564</xdr:colOff>
      <xdr:row>128</xdr:row>
      <xdr:rowOff>135572</xdr:rowOff>
    </xdr:from>
    <xdr:ext cx="303673" cy="170560"/>
    <xdr:sp macro="" textlink="">
      <xdr:nvSpPr>
        <xdr:cNvPr id="5257" name="Text Box 137">
          <a:extLst>
            <a:ext uri="{FF2B5EF4-FFF2-40B4-BE49-F238E27FC236}">
              <a16:creationId xmlns:a16="http://schemas.microsoft.com/office/drawing/2014/main" id="{1D9D54D3-43DC-4DA0-8D49-0EB3CBB11238}"/>
            </a:ext>
          </a:extLst>
        </xdr:cNvPr>
        <xdr:cNvSpPr txBox="1">
          <a:spLocks noChangeArrowheads="1"/>
        </xdr:cNvSpPr>
      </xdr:nvSpPr>
      <xdr:spPr bwMode="auto">
        <a:xfrm>
          <a:off x="11020520" y="3473373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2.3.1</a:t>
          </a:r>
        </a:p>
      </xdr:txBody>
    </xdr:sp>
    <xdr:clientData/>
  </xdr:oneCellAnchor>
  <xdr:twoCellAnchor>
    <xdr:from>
      <xdr:col>31</xdr:col>
      <xdr:colOff>76518</xdr:colOff>
      <xdr:row>129</xdr:row>
      <xdr:rowOff>10086</xdr:rowOff>
    </xdr:from>
    <xdr:to>
      <xdr:col>32</xdr:col>
      <xdr:colOff>146197</xdr:colOff>
      <xdr:row>130</xdr:row>
      <xdr:rowOff>141253</xdr:rowOff>
    </xdr:to>
    <xdr:sp macro="" textlink="">
      <xdr:nvSpPr>
        <xdr:cNvPr id="7287129" name="Oval 138">
          <a:extLst>
            <a:ext uri="{FF2B5EF4-FFF2-40B4-BE49-F238E27FC236}">
              <a16:creationId xmlns:a16="http://schemas.microsoft.com/office/drawing/2014/main" id="{7A76D213-2B1E-4898-8C61-266C7EB28FB6}"/>
            </a:ext>
          </a:extLst>
        </xdr:cNvPr>
        <xdr:cNvSpPr>
          <a:spLocks noChangeArrowheads="1"/>
        </xdr:cNvSpPr>
      </xdr:nvSpPr>
      <xdr:spPr bwMode="auto">
        <a:xfrm>
          <a:off x="13042900" y="35026600"/>
          <a:ext cx="3048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128588</xdr:colOff>
      <xdr:row>129</xdr:row>
      <xdr:rowOff>152400</xdr:rowOff>
    </xdr:from>
    <xdr:to>
      <xdr:col>31</xdr:col>
      <xdr:colOff>80963</xdr:colOff>
      <xdr:row>129</xdr:row>
      <xdr:rowOff>152400</xdr:rowOff>
    </xdr:to>
    <xdr:cxnSp macro="">
      <xdr:nvCxnSpPr>
        <xdr:cNvPr id="8453262" name="AutoShape 140">
          <a:extLst>
            <a:ext uri="{FF2B5EF4-FFF2-40B4-BE49-F238E27FC236}">
              <a16:creationId xmlns:a16="http://schemas.microsoft.com/office/drawing/2014/main" id="{D97C39BC-A68A-49C8-A41D-5003B18A95B2}"/>
            </a:ext>
          </a:extLst>
        </xdr:cNvPr>
        <xdr:cNvCxnSpPr>
          <a:cxnSpLocks noChangeShapeType="1"/>
          <a:stCxn id="7287125" idx="6"/>
          <a:endCxn id="7287129" idx="2"/>
        </xdr:cNvCxnSpPr>
      </xdr:nvCxnSpPr>
      <xdr:spPr bwMode="auto">
        <a:xfrm>
          <a:off x="11730038" y="34942463"/>
          <a:ext cx="59531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2166</xdr:colOff>
      <xdr:row>128</xdr:row>
      <xdr:rowOff>139382</xdr:rowOff>
    </xdr:from>
    <xdr:ext cx="303673" cy="170560"/>
    <xdr:sp macro="" textlink="">
      <xdr:nvSpPr>
        <xdr:cNvPr id="5262" name="Text Box 142">
          <a:extLst>
            <a:ext uri="{FF2B5EF4-FFF2-40B4-BE49-F238E27FC236}">
              <a16:creationId xmlns:a16="http://schemas.microsoft.com/office/drawing/2014/main" id="{7BC8D271-4ED5-4816-B7D3-CF7A5AC14A38}"/>
            </a:ext>
          </a:extLst>
        </xdr:cNvPr>
        <xdr:cNvSpPr txBox="1">
          <a:spLocks noChangeArrowheads="1"/>
        </xdr:cNvSpPr>
      </xdr:nvSpPr>
      <xdr:spPr bwMode="auto">
        <a:xfrm>
          <a:off x="11818770" y="3473754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2.3.2</a:t>
          </a:r>
        </a:p>
      </xdr:txBody>
    </xdr:sp>
    <xdr:clientData/>
  </xdr:oneCellAnchor>
  <xdr:twoCellAnchor editAs="oneCell">
    <xdr:from>
      <xdr:col>36</xdr:col>
      <xdr:colOff>78423</xdr:colOff>
      <xdr:row>128</xdr:row>
      <xdr:rowOff>139382</xdr:rowOff>
    </xdr:from>
    <xdr:to>
      <xdr:col>36</xdr:col>
      <xdr:colOff>211111</xdr:colOff>
      <xdr:row>129</xdr:row>
      <xdr:rowOff>153007</xdr:rowOff>
    </xdr:to>
    <xdr:sp macro="" textlink="">
      <xdr:nvSpPr>
        <xdr:cNvPr id="7287132" name="Text Box 146">
          <a:extLst>
            <a:ext uri="{FF2B5EF4-FFF2-40B4-BE49-F238E27FC236}">
              <a16:creationId xmlns:a16="http://schemas.microsoft.com/office/drawing/2014/main" id="{E8B7EC39-5DD9-4F8D-BFF4-ACB4F55732D3}"/>
            </a:ext>
          </a:extLst>
        </xdr:cNvPr>
        <xdr:cNvSpPr txBox="1">
          <a:spLocks noChangeArrowheads="1"/>
        </xdr:cNvSpPr>
      </xdr:nvSpPr>
      <xdr:spPr bwMode="auto">
        <a:xfrm>
          <a:off x="14376400" y="34963100"/>
          <a:ext cx="889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21</xdr:col>
      <xdr:colOff>157163</xdr:colOff>
      <xdr:row>129</xdr:row>
      <xdr:rowOff>152400</xdr:rowOff>
    </xdr:from>
    <xdr:to>
      <xdr:col>23</xdr:col>
      <xdr:colOff>271463</xdr:colOff>
      <xdr:row>134</xdr:row>
      <xdr:rowOff>95250</xdr:rowOff>
    </xdr:to>
    <xdr:cxnSp macro="">
      <xdr:nvCxnSpPr>
        <xdr:cNvPr id="8453265" name="AutoShape 148">
          <a:extLst>
            <a:ext uri="{FF2B5EF4-FFF2-40B4-BE49-F238E27FC236}">
              <a16:creationId xmlns:a16="http://schemas.microsoft.com/office/drawing/2014/main" id="{3A823EDE-92E1-4A9A-B1B0-EE69A1D1E3DB}"/>
            </a:ext>
          </a:extLst>
        </xdr:cNvPr>
        <xdr:cNvCxnSpPr>
          <a:cxnSpLocks noChangeShapeType="1"/>
          <a:stCxn id="7287094" idx="0"/>
          <a:endCxn id="7287126" idx="2"/>
        </xdr:cNvCxnSpPr>
      </xdr:nvCxnSpPr>
      <xdr:spPr bwMode="auto">
        <a:xfrm rot="-5400000">
          <a:off x="10125075" y="35075813"/>
          <a:ext cx="752475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157163</xdr:colOff>
      <xdr:row>112</xdr:row>
      <xdr:rowOff>57150</xdr:rowOff>
    </xdr:from>
    <xdr:to>
      <xdr:col>23</xdr:col>
      <xdr:colOff>271463</xdr:colOff>
      <xdr:row>129</xdr:row>
      <xdr:rowOff>152400</xdr:rowOff>
    </xdr:to>
    <xdr:cxnSp macro="">
      <xdr:nvCxnSpPr>
        <xdr:cNvPr id="8453266" name="AutoShape 149">
          <a:extLst>
            <a:ext uri="{FF2B5EF4-FFF2-40B4-BE49-F238E27FC236}">
              <a16:creationId xmlns:a16="http://schemas.microsoft.com/office/drawing/2014/main" id="{E34FDC83-DBBF-4979-9EA6-92C87075F731}"/>
            </a:ext>
          </a:extLst>
        </xdr:cNvPr>
        <xdr:cNvCxnSpPr>
          <a:cxnSpLocks noChangeShapeType="1"/>
          <a:stCxn id="7287070" idx="4"/>
          <a:endCxn id="7287126" idx="2"/>
        </xdr:cNvCxnSpPr>
      </xdr:nvCxnSpPr>
      <xdr:spPr bwMode="auto">
        <a:xfrm rot="16200000" flipH="1">
          <a:off x="9077325" y="33275588"/>
          <a:ext cx="2847975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22</xdr:col>
      <xdr:colOff>61913</xdr:colOff>
      <xdr:row>135</xdr:row>
      <xdr:rowOff>57150</xdr:rowOff>
    </xdr:from>
    <xdr:to>
      <xdr:col>23</xdr:col>
      <xdr:colOff>271463</xdr:colOff>
      <xdr:row>135</xdr:row>
      <xdr:rowOff>95250</xdr:rowOff>
    </xdr:to>
    <xdr:cxnSp macro="">
      <xdr:nvCxnSpPr>
        <xdr:cNvPr id="8453267" name="AutoShape 150">
          <a:extLst>
            <a:ext uri="{FF2B5EF4-FFF2-40B4-BE49-F238E27FC236}">
              <a16:creationId xmlns:a16="http://schemas.microsoft.com/office/drawing/2014/main" id="{C33FE38A-E409-4253-90D2-ED7D70780653}"/>
            </a:ext>
          </a:extLst>
        </xdr:cNvPr>
        <xdr:cNvCxnSpPr>
          <a:cxnSpLocks noChangeShapeType="1"/>
          <a:stCxn id="7287094" idx="6"/>
          <a:endCxn id="7287082" idx="2"/>
        </xdr:cNvCxnSpPr>
      </xdr:nvCxnSpPr>
      <xdr:spPr bwMode="auto">
        <a:xfrm>
          <a:off x="10377488" y="35818763"/>
          <a:ext cx="366712" cy="3810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41</xdr:col>
      <xdr:colOff>81281</xdr:colOff>
      <xdr:row>154</xdr:row>
      <xdr:rowOff>144144</xdr:rowOff>
    </xdr:from>
    <xdr:to>
      <xdr:col>42</xdr:col>
      <xdr:colOff>135537</xdr:colOff>
      <xdr:row>156</xdr:row>
      <xdr:rowOff>2196</xdr:rowOff>
    </xdr:to>
    <xdr:sp macro="" textlink="">
      <xdr:nvSpPr>
        <xdr:cNvPr id="7287136" name="Oval 152">
          <a:extLst>
            <a:ext uri="{FF2B5EF4-FFF2-40B4-BE49-F238E27FC236}">
              <a16:creationId xmlns:a16="http://schemas.microsoft.com/office/drawing/2014/main" id="{595E5DB5-ABA4-4F40-9A5A-2CD93B2D8079}"/>
            </a:ext>
          </a:extLst>
        </xdr:cNvPr>
        <xdr:cNvSpPr>
          <a:spLocks noChangeArrowheads="1"/>
        </xdr:cNvSpPr>
      </xdr:nvSpPr>
      <xdr:spPr bwMode="auto">
        <a:xfrm>
          <a:off x="15709900" y="392557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38100</xdr:colOff>
      <xdr:row>100</xdr:row>
      <xdr:rowOff>23813</xdr:rowOff>
    </xdr:from>
    <xdr:to>
      <xdr:col>8</xdr:col>
      <xdr:colOff>61913</xdr:colOff>
      <xdr:row>154</xdr:row>
      <xdr:rowOff>23813</xdr:rowOff>
    </xdr:to>
    <xdr:cxnSp macro="">
      <xdr:nvCxnSpPr>
        <xdr:cNvPr id="8453269" name="AutoShape 153">
          <a:extLst>
            <a:ext uri="{FF2B5EF4-FFF2-40B4-BE49-F238E27FC236}">
              <a16:creationId xmlns:a16="http://schemas.microsoft.com/office/drawing/2014/main" id="{A76DA0B9-C637-4CCB-9171-6EF31615FC96}"/>
            </a:ext>
          </a:extLst>
        </xdr:cNvPr>
        <xdr:cNvCxnSpPr>
          <a:cxnSpLocks noChangeShapeType="1"/>
          <a:stCxn id="7287040" idx="0"/>
          <a:endCxn id="7287117" idx="4"/>
        </xdr:cNvCxnSpPr>
      </xdr:nvCxnSpPr>
      <xdr:spPr bwMode="auto">
        <a:xfrm rot="5400000" flipH="1">
          <a:off x="3064669" y="34478119"/>
          <a:ext cx="8743950" cy="23812"/>
        </a:xfrm>
        <a:prstGeom prst="bentConnector3">
          <a:avLst>
            <a:gd name="adj1" fmla="val 50000"/>
          </a:avLst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61913</xdr:colOff>
      <xdr:row>155</xdr:row>
      <xdr:rowOff>152400</xdr:rowOff>
    </xdr:from>
    <xdr:to>
      <xdr:col>8</xdr:col>
      <xdr:colOff>61913</xdr:colOff>
      <xdr:row>175</xdr:row>
      <xdr:rowOff>95250</xdr:rowOff>
    </xdr:to>
    <xdr:cxnSp macro="">
      <xdr:nvCxnSpPr>
        <xdr:cNvPr id="8453270" name="AutoShape 154">
          <a:extLst>
            <a:ext uri="{FF2B5EF4-FFF2-40B4-BE49-F238E27FC236}">
              <a16:creationId xmlns:a16="http://schemas.microsoft.com/office/drawing/2014/main" id="{B16181E1-92CE-4F31-A224-E393BE505080}"/>
            </a:ext>
          </a:extLst>
        </xdr:cNvPr>
        <xdr:cNvCxnSpPr>
          <a:cxnSpLocks noChangeShapeType="1"/>
          <a:stCxn id="7287040" idx="4"/>
          <a:endCxn id="7287101" idx="0"/>
        </xdr:cNvCxnSpPr>
      </xdr:nvCxnSpPr>
      <xdr:spPr bwMode="auto">
        <a:xfrm>
          <a:off x="7448550" y="39152513"/>
          <a:ext cx="0" cy="318135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0</xdr:colOff>
      <xdr:row>99</xdr:row>
      <xdr:rowOff>95250</xdr:rowOff>
    </xdr:from>
    <xdr:to>
      <xdr:col>41</xdr:col>
      <xdr:colOff>257175</xdr:colOff>
      <xdr:row>154</xdr:row>
      <xdr:rowOff>133350</xdr:rowOff>
    </xdr:to>
    <xdr:cxnSp macro="">
      <xdr:nvCxnSpPr>
        <xdr:cNvPr id="8453271" name="AutoShape 155">
          <a:extLst>
            <a:ext uri="{FF2B5EF4-FFF2-40B4-BE49-F238E27FC236}">
              <a16:creationId xmlns:a16="http://schemas.microsoft.com/office/drawing/2014/main" id="{4D198970-6DF1-4E86-8ABA-A45A58CE0997}"/>
            </a:ext>
          </a:extLst>
        </xdr:cNvPr>
        <xdr:cNvCxnSpPr>
          <a:cxnSpLocks noChangeShapeType="1"/>
          <a:stCxn id="7287122" idx="6"/>
          <a:endCxn id="7287136" idx="0"/>
        </xdr:cNvCxnSpPr>
      </xdr:nvCxnSpPr>
      <xdr:spPr bwMode="auto">
        <a:xfrm>
          <a:off x="10744200" y="30027563"/>
          <a:ext cx="4224338" cy="89439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102</xdr:row>
      <xdr:rowOff>95250</xdr:rowOff>
    </xdr:from>
    <xdr:to>
      <xdr:col>41</xdr:col>
      <xdr:colOff>257175</xdr:colOff>
      <xdr:row>154</xdr:row>
      <xdr:rowOff>133350</xdr:rowOff>
    </xdr:to>
    <xdr:cxnSp macro="">
      <xdr:nvCxnSpPr>
        <xdr:cNvPr id="8453272" name="AutoShape 156">
          <a:extLst>
            <a:ext uri="{FF2B5EF4-FFF2-40B4-BE49-F238E27FC236}">
              <a16:creationId xmlns:a16="http://schemas.microsoft.com/office/drawing/2014/main" id="{5A3A6051-796C-4280-9AA9-25A32B51775B}"/>
            </a:ext>
          </a:extLst>
        </xdr:cNvPr>
        <xdr:cNvCxnSpPr>
          <a:cxnSpLocks noChangeShapeType="1"/>
          <a:stCxn id="7287046" idx="6"/>
          <a:endCxn id="7287136" idx="0"/>
        </xdr:cNvCxnSpPr>
      </xdr:nvCxnSpPr>
      <xdr:spPr bwMode="auto">
        <a:xfrm>
          <a:off x="11815763" y="30513338"/>
          <a:ext cx="3152775" cy="845820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106</xdr:row>
      <xdr:rowOff>23813</xdr:rowOff>
    </xdr:from>
    <xdr:to>
      <xdr:col>41</xdr:col>
      <xdr:colOff>257175</xdr:colOff>
      <xdr:row>154</xdr:row>
      <xdr:rowOff>133350</xdr:rowOff>
    </xdr:to>
    <xdr:cxnSp macro="">
      <xdr:nvCxnSpPr>
        <xdr:cNvPr id="8453273" name="AutoShape 157">
          <a:extLst>
            <a:ext uri="{FF2B5EF4-FFF2-40B4-BE49-F238E27FC236}">
              <a16:creationId xmlns:a16="http://schemas.microsoft.com/office/drawing/2014/main" id="{3C2DE08F-BD7C-45C7-AB48-71AAF44B3021}"/>
            </a:ext>
          </a:extLst>
        </xdr:cNvPr>
        <xdr:cNvCxnSpPr>
          <a:cxnSpLocks noChangeShapeType="1"/>
          <a:stCxn id="7287050" idx="6"/>
          <a:endCxn id="7287136" idx="0"/>
        </xdr:cNvCxnSpPr>
      </xdr:nvCxnSpPr>
      <xdr:spPr bwMode="auto">
        <a:xfrm>
          <a:off x="11815763" y="31089600"/>
          <a:ext cx="3152775" cy="788193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138113</xdr:colOff>
      <xdr:row>129</xdr:row>
      <xdr:rowOff>152400</xdr:rowOff>
    </xdr:from>
    <xdr:to>
      <xdr:col>41</xdr:col>
      <xdr:colOff>257175</xdr:colOff>
      <xdr:row>154</xdr:row>
      <xdr:rowOff>133350</xdr:rowOff>
    </xdr:to>
    <xdr:cxnSp macro="">
      <xdr:nvCxnSpPr>
        <xdr:cNvPr id="8453274" name="AutoShape 158">
          <a:extLst>
            <a:ext uri="{FF2B5EF4-FFF2-40B4-BE49-F238E27FC236}">
              <a16:creationId xmlns:a16="http://schemas.microsoft.com/office/drawing/2014/main" id="{16CDFBC2-EBF3-443F-BD14-D3213D5B9462}"/>
            </a:ext>
          </a:extLst>
        </xdr:cNvPr>
        <xdr:cNvCxnSpPr>
          <a:cxnSpLocks noChangeShapeType="1"/>
          <a:stCxn id="7287129" idx="6"/>
          <a:endCxn id="7287136" idx="0"/>
        </xdr:cNvCxnSpPr>
      </xdr:nvCxnSpPr>
      <xdr:spPr bwMode="auto">
        <a:xfrm>
          <a:off x="12630150" y="34942463"/>
          <a:ext cx="2338388" cy="40290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39</xdr:col>
      <xdr:colOff>138113</xdr:colOff>
      <xdr:row>135</xdr:row>
      <xdr:rowOff>95250</xdr:rowOff>
    </xdr:from>
    <xdr:to>
      <xdr:col>41</xdr:col>
      <xdr:colOff>257175</xdr:colOff>
      <xdr:row>154</xdr:row>
      <xdr:rowOff>133350</xdr:rowOff>
    </xdr:to>
    <xdr:cxnSp macro="">
      <xdr:nvCxnSpPr>
        <xdr:cNvPr id="8453275" name="AutoShape 159">
          <a:extLst>
            <a:ext uri="{FF2B5EF4-FFF2-40B4-BE49-F238E27FC236}">
              <a16:creationId xmlns:a16="http://schemas.microsoft.com/office/drawing/2014/main" id="{6E716EBE-3B53-4FC0-9643-EE3A27E91D2A}"/>
            </a:ext>
          </a:extLst>
        </xdr:cNvPr>
        <xdr:cNvCxnSpPr>
          <a:cxnSpLocks noChangeShapeType="1"/>
          <a:stCxn id="7287091" idx="6"/>
          <a:endCxn id="7287136" idx="0"/>
        </xdr:cNvCxnSpPr>
      </xdr:nvCxnSpPr>
      <xdr:spPr bwMode="auto">
        <a:xfrm>
          <a:off x="14363700" y="35856863"/>
          <a:ext cx="604838" cy="31146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109</xdr:row>
      <xdr:rowOff>228600</xdr:rowOff>
    </xdr:from>
    <xdr:to>
      <xdr:col>41</xdr:col>
      <xdr:colOff>257175</xdr:colOff>
      <xdr:row>154</xdr:row>
      <xdr:rowOff>133350</xdr:rowOff>
    </xdr:to>
    <xdr:cxnSp macro="">
      <xdr:nvCxnSpPr>
        <xdr:cNvPr id="8453276" name="AutoShape 161">
          <a:extLst>
            <a:ext uri="{FF2B5EF4-FFF2-40B4-BE49-F238E27FC236}">
              <a16:creationId xmlns:a16="http://schemas.microsoft.com/office/drawing/2014/main" id="{5597FACD-9563-488A-98F9-9B41B091D3D0}"/>
            </a:ext>
          </a:extLst>
        </xdr:cNvPr>
        <xdr:cNvCxnSpPr>
          <a:cxnSpLocks noChangeShapeType="1"/>
          <a:stCxn id="7287054" idx="6"/>
          <a:endCxn id="7287136" idx="0"/>
        </xdr:cNvCxnSpPr>
      </xdr:nvCxnSpPr>
      <xdr:spPr bwMode="auto">
        <a:xfrm>
          <a:off x="11815763" y="31713488"/>
          <a:ext cx="3152775" cy="72580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113</xdr:row>
      <xdr:rowOff>23813</xdr:rowOff>
    </xdr:from>
    <xdr:to>
      <xdr:col>41</xdr:col>
      <xdr:colOff>257175</xdr:colOff>
      <xdr:row>154</xdr:row>
      <xdr:rowOff>133350</xdr:rowOff>
    </xdr:to>
    <xdr:cxnSp macro="">
      <xdr:nvCxnSpPr>
        <xdr:cNvPr id="8453277" name="AutoShape 162">
          <a:extLst>
            <a:ext uri="{FF2B5EF4-FFF2-40B4-BE49-F238E27FC236}">
              <a16:creationId xmlns:a16="http://schemas.microsoft.com/office/drawing/2014/main" id="{38BEB502-C41E-467E-933A-5A5A6A865B89}"/>
            </a:ext>
          </a:extLst>
        </xdr:cNvPr>
        <xdr:cNvCxnSpPr>
          <a:cxnSpLocks noChangeShapeType="1"/>
          <a:stCxn id="7287058" idx="6"/>
          <a:endCxn id="7287136" idx="0"/>
        </xdr:cNvCxnSpPr>
      </xdr:nvCxnSpPr>
      <xdr:spPr bwMode="auto">
        <a:xfrm>
          <a:off x="11815763" y="32223075"/>
          <a:ext cx="3152775" cy="674846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116</xdr:row>
      <xdr:rowOff>204788</xdr:rowOff>
    </xdr:from>
    <xdr:to>
      <xdr:col>41</xdr:col>
      <xdr:colOff>257175</xdr:colOff>
      <xdr:row>154</xdr:row>
      <xdr:rowOff>133350</xdr:rowOff>
    </xdr:to>
    <xdr:cxnSp macro="">
      <xdr:nvCxnSpPr>
        <xdr:cNvPr id="8453278" name="AutoShape 163">
          <a:extLst>
            <a:ext uri="{FF2B5EF4-FFF2-40B4-BE49-F238E27FC236}">
              <a16:creationId xmlns:a16="http://schemas.microsoft.com/office/drawing/2014/main" id="{42C90BEE-3A9A-44C7-8B2F-266A42709ABF}"/>
            </a:ext>
          </a:extLst>
        </xdr:cNvPr>
        <xdr:cNvCxnSpPr>
          <a:cxnSpLocks noChangeShapeType="1"/>
          <a:stCxn id="7287062" idx="6"/>
          <a:endCxn id="7287136" idx="0"/>
        </xdr:cNvCxnSpPr>
      </xdr:nvCxnSpPr>
      <xdr:spPr bwMode="auto">
        <a:xfrm>
          <a:off x="11815763" y="32846963"/>
          <a:ext cx="3152775" cy="61245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120</xdr:row>
      <xdr:rowOff>152400</xdr:rowOff>
    </xdr:from>
    <xdr:to>
      <xdr:col>41</xdr:col>
      <xdr:colOff>257175</xdr:colOff>
      <xdr:row>154</xdr:row>
      <xdr:rowOff>133350</xdr:rowOff>
    </xdr:to>
    <xdr:cxnSp macro="">
      <xdr:nvCxnSpPr>
        <xdr:cNvPr id="8453279" name="AutoShape 164">
          <a:extLst>
            <a:ext uri="{FF2B5EF4-FFF2-40B4-BE49-F238E27FC236}">
              <a16:creationId xmlns:a16="http://schemas.microsoft.com/office/drawing/2014/main" id="{1E679CCF-F75B-40AA-A98A-E590F7ADD45C}"/>
            </a:ext>
          </a:extLst>
        </xdr:cNvPr>
        <xdr:cNvCxnSpPr>
          <a:cxnSpLocks noChangeShapeType="1"/>
          <a:stCxn id="7287066" idx="6"/>
          <a:endCxn id="7287136" idx="0"/>
        </xdr:cNvCxnSpPr>
      </xdr:nvCxnSpPr>
      <xdr:spPr bwMode="auto">
        <a:xfrm>
          <a:off x="11815763" y="33485138"/>
          <a:ext cx="3152775" cy="548640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252413</xdr:colOff>
      <xdr:row>156</xdr:row>
      <xdr:rowOff>23813</xdr:rowOff>
    </xdr:from>
    <xdr:to>
      <xdr:col>41</xdr:col>
      <xdr:colOff>257175</xdr:colOff>
      <xdr:row>171</xdr:row>
      <xdr:rowOff>152400</xdr:rowOff>
    </xdr:to>
    <xdr:cxnSp macro="">
      <xdr:nvCxnSpPr>
        <xdr:cNvPr id="8453280" name="AutoShape 166">
          <a:extLst>
            <a:ext uri="{FF2B5EF4-FFF2-40B4-BE49-F238E27FC236}">
              <a16:creationId xmlns:a16="http://schemas.microsoft.com/office/drawing/2014/main" id="{26683303-DC3C-45A6-BF97-2A7E37D11951}"/>
            </a:ext>
          </a:extLst>
        </xdr:cNvPr>
        <xdr:cNvCxnSpPr>
          <a:cxnSpLocks noChangeShapeType="1"/>
          <a:stCxn id="7287026" idx="6"/>
          <a:endCxn id="7287136" idx="4"/>
        </xdr:cNvCxnSpPr>
      </xdr:nvCxnSpPr>
      <xdr:spPr bwMode="auto">
        <a:xfrm flipV="1">
          <a:off x="10958513" y="39185850"/>
          <a:ext cx="4010025" cy="255746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252413</xdr:colOff>
      <xdr:row>156</xdr:row>
      <xdr:rowOff>23813</xdr:rowOff>
    </xdr:from>
    <xdr:to>
      <xdr:col>41</xdr:col>
      <xdr:colOff>257175</xdr:colOff>
      <xdr:row>169</xdr:row>
      <xdr:rowOff>23813</xdr:rowOff>
    </xdr:to>
    <xdr:cxnSp macro="">
      <xdr:nvCxnSpPr>
        <xdr:cNvPr id="8453281" name="AutoShape 167">
          <a:extLst>
            <a:ext uri="{FF2B5EF4-FFF2-40B4-BE49-F238E27FC236}">
              <a16:creationId xmlns:a16="http://schemas.microsoft.com/office/drawing/2014/main" id="{46B17AC5-2CEE-43BA-AC5F-1D013C77C5BE}"/>
            </a:ext>
          </a:extLst>
        </xdr:cNvPr>
        <xdr:cNvCxnSpPr>
          <a:cxnSpLocks noChangeShapeType="1"/>
          <a:stCxn id="7287023" idx="6"/>
          <a:endCxn id="7287136" idx="4"/>
        </xdr:cNvCxnSpPr>
      </xdr:nvCxnSpPr>
      <xdr:spPr bwMode="auto">
        <a:xfrm flipV="1">
          <a:off x="10958513" y="39185850"/>
          <a:ext cx="4010025" cy="21050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252413</xdr:colOff>
      <xdr:row>156</xdr:row>
      <xdr:rowOff>23813</xdr:rowOff>
    </xdr:from>
    <xdr:to>
      <xdr:col>41</xdr:col>
      <xdr:colOff>257175</xdr:colOff>
      <xdr:row>165</xdr:row>
      <xdr:rowOff>152400</xdr:rowOff>
    </xdr:to>
    <xdr:cxnSp macro="">
      <xdr:nvCxnSpPr>
        <xdr:cNvPr id="8453282" name="AutoShape 168">
          <a:extLst>
            <a:ext uri="{FF2B5EF4-FFF2-40B4-BE49-F238E27FC236}">
              <a16:creationId xmlns:a16="http://schemas.microsoft.com/office/drawing/2014/main" id="{02DA7477-3BB0-4A39-9F35-7FD171EB0298}"/>
            </a:ext>
          </a:extLst>
        </xdr:cNvPr>
        <xdr:cNvCxnSpPr>
          <a:cxnSpLocks noChangeShapeType="1"/>
          <a:stCxn id="7287015" idx="6"/>
          <a:endCxn id="7287136" idx="4"/>
        </xdr:cNvCxnSpPr>
      </xdr:nvCxnSpPr>
      <xdr:spPr bwMode="auto">
        <a:xfrm flipV="1">
          <a:off x="10958513" y="39185850"/>
          <a:ext cx="4010025" cy="158591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271463</xdr:colOff>
      <xdr:row>156</xdr:row>
      <xdr:rowOff>23813</xdr:rowOff>
    </xdr:from>
    <xdr:to>
      <xdr:col>41</xdr:col>
      <xdr:colOff>257175</xdr:colOff>
      <xdr:row>162</xdr:row>
      <xdr:rowOff>190500</xdr:rowOff>
    </xdr:to>
    <xdr:cxnSp macro="">
      <xdr:nvCxnSpPr>
        <xdr:cNvPr id="8453283" name="AutoShape 169">
          <a:extLst>
            <a:ext uri="{FF2B5EF4-FFF2-40B4-BE49-F238E27FC236}">
              <a16:creationId xmlns:a16="http://schemas.microsoft.com/office/drawing/2014/main" id="{8E0DB339-8EB1-4AD1-87E5-23062AFBBD38}"/>
            </a:ext>
          </a:extLst>
        </xdr:cNvPr>
        <xdr:cNvCxnSpPr>
          <a:cxnSpLocks noChangeShapeType="1"/>
          <a:stCxn id="7287012" idx="6"/>
          <a:endCxn id="7287136" idx="4"/>
        </xdr:cNvCxnSpPr>
      </xdr:nvCxnSpPr>
      <xdr:spPr bwMode="auto">
        <a:xfrm flipV="1">
          <a:off x="10958513" y="39185850"/>
          <a:ext cx="4010025" cy="110966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271463</xdr:colOff>
      <xdr:row>156</xdr:row>
      <xdr:rowOff>23813</xdr:rowOff>
    </xdr:from>
    <xdr:to>
      <xdr:col>41</xdr:col>
      <xdr:colOff>257175</xdr:colOff>
      <xdr:row>160</xdr:row>
      <xdr:rowOff>0</xdr:rowOff>
    </xdr:to>
    <xdr:cxnSp macro="">
      <xdr:nvCxnSpPr>
        <xdr:cNvPr id="8453284" name="AutoShape 170">
          <a:extLst>
            <a:ext uri="{FF2B5EF4-FFF2-40B4-BE49-F238E27FC236}">
              <a16:creationId xmlns:a16="http://schemas.microsoft.com/office/drawing/2014/main" id="{8798A8D5-763B-4F4A-841F-6A35653B6AF1}"/>
            </a:ext>
          </a:extLst>
        </xdr:cNvPr>
        <xdr:cNvCxnSpPr>
          <a:cxnSpLocks noChangeShapeType="1"/>
          <a:stCxn id="7287011" idx="6"/>
          <a:endCxn id="7287136" idx="4"/>
        </xdr:cNvCxnSpPr>
      </xdr:nvCxnSpPr>
      <xdr:spPr bwMode="auto">
        <a:xfrm flipV="1">
          <a:off x="10958513" y="39185850"/>
          <a:ext cx="4010025" cy="6238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176213</xdr:colOff>
      <xdr:row>156</xdr:row>
      <xdr:rowOff>23813</xdr:rowOff>
    </xdr:from>
    <xdr:to>
      <xdr:col>41</xdr:col>
      <xdr:colOff>257175</xdr:colOff>
      <xdr:row>157</xdr:row>
      <xdr:rowOff>23813</xdr:rowOff>
    </xdr:to>
    <xdr:cxnSp macro="">
      <xdr:nvCxnSpPr>
        <xdr:cNvPr id="8453285" name="AutoShape 171">
          <a:extLst>
            <a:ext uri="{FF2B5EF4-FFF2-40B4-BE49-F238E27FC236}">
              <a16:creationId xmlns:a16="http://schemas.microsoft.com/office/drawing/2014/main" id="{97ED6277-72B0-4E5E-B87C-2067D1C7C2A5}"/>
            </a:ext>
          </a:extLst>
        </xdr:cNvPr>
        <xdr:cNvCxnSpPr>
          <a:cxnSpLocks noChangeShapeType="1"/>
          <a:stCxn id="7287036" idx="6"/>
          <a:endCxn id="7287136" idx="4"/>
        </xdr:cNvCxnSpPr>
      </xdr:nvCxnSpPr>
      <xdr:spPr bwMode="auto">
        <a:xfrm flipV="1">
          <a:off x="10920413" y="39185850"/>
          <a:ext cx="4048125" cy="1619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176213</xdr:colOff>
      <xdr:row>152</xdr:row>
      <xdr:rowOff>204788</xdr:rowOff>
    </xdr:from>
    <xdr:to>
      <xdr:col>41</xdr:col>
      <xdr:colOff>257175</xdr:colOff>
      <xdr:row>154</xdr:row>
      <xdr:rowOff>133350</xdr:rowOff>
    </xdr:to>
    <xdr:cxnSp macro="">
      <xdr:nvCxnSpPr>
        <xdr:cNvPr id="8453286" name="AutoShape 172">
          <a:extLst>
            <a:ext uri="{FF2B5EF4-FFF2-40B4-BE49-F238E27FC236}">
              <a16:creationId xmlns:a16="http://schemas.microsoft.com/office/drawing/2014/main" id="{E50D34BB-954D-491A-B46C-86181DA0282D}"/>
            </a:ext>
          </a:extLst>
        </xdr:cNvPr>
        <xdr:cNvCxnSpPr>
          <a:cxnSpLocks noChangeShapeType="1"/>
          <a:stCxn id="7287033" idx="6"/>
          <a:endCxn id="7287136" idx="0"/>
        </xdr:cNvCxnSpPr>
      </xdr:nvCxnSpPr>
      <xdr:spPr bwMode="auto">
        <a:xfrm>
          <a:off x="10920413" y="38676263"/>
          <a:ext cx="4048125" cy="2952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28</xdr:col>
      <xdr:colOff>10104</xdr:colOff>
      <xdr:row>123</xdr:row>
      <xdr:rowOff>8890</xdr:rowOff>
    </xdr:from>
    <xdr:to>
      <xdr:col>29</xdr:col>
      <xdr:colOff>1321</xdr:colOff>
      <xdr:row>124</xdr:row>
      <xdr:rowOff>149313</xdr:rowOff>
    </xdr:to>
    <xdr:sp macro="" textlink="">
      <xdr:nvSpPr>
        <xdr:cNvPr id="7287155" name="Oval 173">
          <a:extLst>
            <a:ext uri="{FF2B5EF4-FFF2-40B4-BE49-F238E27FC236}">
              <a16:creationId xmlns:a16="http://schemas.microsoft.com/office/drawing/2014/main" id="{F4DEB293-0FF0-4BD7-A557-A833910879AB}"/>
            </a:ext>
          </a:extLst>
        </xdr:cNvPr>
        <xdr:cNvSpPr>
          <a:spLocks noChangeArrowheads="1"/>
        </xdr:cNvSpPr>
      </xdr:nvSpPr>
      <xdr:spPr bwMode="auto">
        <a:xfrm>
          <a:off x="12255500" y="34061400"/>
          <a:ext cx="2413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12644</xdr:colOff>
      <xdr:row>123</xdr:row>
      <xdr:rowOff>8890</xdr:rowOff>
    </xdr:from>
    <xdr:to>
      <xdr:col>25</xdr:col>
      <xdr:colOff>1637</xdr:colOff>
      <xdr:row>124</xdr:row>
      <xdr:rowOff>149313</xdr:rowOff>
    </xdr:to>
    <xdr:sp macro="" textlink="">
      <xdr:nvSpPr>
        <xdr:cNvPr id="7287156" name="Oval 174">
          <a:extLst>
            <a:ext uri="{FF2B5EF4-FFF2-40B4-BE49-F238E27FC236}">
              <a16:creationId xmlns:a16="http://schemas.microsoft.com/office/drawing/2014/main" id="{5C5A276D-CEAE-4373-907F-74918485D3F3}"/>
            </a:ext>
          </a:extLst>
        </xdr:cNvPr>
        <xdr:cNvSpPr>
          <a:spLocks noChangeArrowheads="1"/>
        </xdr:cNvSpPr>
      </xdr:nvSpPr>
      <xdr:spPr bwMode="auto">
        <a:xfrm>
          <a:off x="11328400" y="340614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271463</xdr:colOff>
      <xdr:row>123</xdr:row>
      <xdr:rowOff>228600</xdr:rowOff>
    </xdr:from>
    <xdr:to>
      <xdr:col>27</xdr:col>
      <xdr:colOff>252413</xdr:colOff>
      <xdr:row>123</xdr:row>
      <xdr:rowOff>228600</xdr:rowOff>
    </xdr:to>
    <xdr:cxnSp macro="">
      <xdr:nvCxnSpPr>
        <xdr:cNvPr id="8453289" name="AutoShape 175">
          <a:extLst>
            <a:ext uri="{FF2B5EF4-FFF2-40B4-BE49-F238E27FC236}">
              <a16:creationId xmlns:a16="http://schemas.microsoft.com/office/drawing/2014/main" id="{902D47BF-EE08-46FA-BF89-A88C19FD48E3}"/>
            </a:ext>
          </a:extLst>
        </xdr:cNvPr>
        <xdr:cNvCxnSpPr>
          <a:cxnSpLocks noChangeShapeType="1"/>
          <a:stCxn id="7287156" idx="6"/>
          <a:endCxn id="7287155" idx="2"/>
        </xdr:cNvCxnSpPr>
      </xdr:nvCxnSpPr>
      <xdr:spPr bwMode="auto">
        <a:xfrm>
          <a:off x="10958513" y="33980438"/>
          <a:ext cx="642937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150813</xdr:colOff>
      <xdr:row>122</xdr:row>
      <xdr:rowOff>130492</xdr:rowOff>
    </xdr:from>
    <xdr:ext cx="303673" cy="170560"/>
    <xdr:sp macro="" textlink="">
      <xdr:nvSpPr>
        <xdr:cNvPr id="5296" name="Text Box 176">
          <a:extLst>
            <a:ext uri="{FF2B5EF4-FFF2-40B4-BE49-F238E27FC236}">
              <a16:creationId xmlns:a16="http://schemas.microsoft.com/office/drawing/2014/main" id="{03E846B0-D2DD-4B5A-93E9-D15ED2BB18F3}"/>
            </a:ext>
          </a:extLst>
        </xdr:cNvPr>
        <xdr:cNvSpPr txBox="1">
          <a:spLocks noChangeArrowheads="1"/>
        </xdr:cNvSpPr>
      </xdr:nvSpPr>
      <xdr:spPr bwMode="auto">
        <a:xfrm>
          <a:off x="11115769" y="33753743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1.1.8</a:t>
          </a:r>
        </a:p>
      </xdr:txBody>
    </xdr:sp>
    <xdr:clientData/>
  </xdr:oneCellAnchor>
  <xdr:twoCellAnchor>
    <xdr:from>
      <xdr:col>21</xdr:col>
      <xdr:colOff>157163</xdr:colOff>
      <xdr:row>123</xdr:row>
      <xdr:rowOff>228600</xdr:rowOff>
    </xdr:from>
    <xdr:to>
      <xdr:col>23</xdr:col>
      <xdr:colOff>247650</xdr:colOff>
      <xdr:row>134</xdr:row>
      <xdr:rowOff>95250</xdr:rowOff>
    </xdr:to>
    <xdr:cxnSp macro="">
      <xdr:nvCxnSpPr>
        <xdr:cNvPr id="8453291" name="AutoShape 179">
          <a:extLst>
            <a:ext uri="{FF2B5EF4-FFF2-40B4-BE49-F238E27FC236}">
              <a16:creationId xmlns:a16="http://schemas.microsoft.com/office/drawing/2014/main" id="{B38930BC-4798-4E4E-9DBA-56CFB5D5A0A3}"/>
            </a:ext>
          </a:extLst>
        </xdr:cNvPr>
        <xdr:cNvCxnSpPr>
          <a:cxnSpLocks noChangeShapeType="1"/>
          <a:stCxn id="7287094" idx="0"/>
          <a:endCxn id="7287156" idx="2"/>
        </xdr:cNvCxnSpPr>
      </xdr:nvCxnSpPr>
      <xdr:spPr bwMode="auto">
        <a:xfrm rot="-5400000">
          <a:off x="9644063" y="34594800"/>
          <a:ext cx="1714500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6984</xdr:colOff>
      <xdr:row>123</xdr:row>
      <xdr:rowOff>8890</xdr:rowOff>
    </xdr:from>
    <xdr:to>
      <xdr:col>33</xdr:col>
      <xdr:colOff>56617</xdr:colOff>
      <xdr:row>124</xdr:row>
      <xdr:rowOff>149313</xdr:rowOff>
    </xdr:to>
    <xdr:sp macro="" textlink="">
      <xdr:nvSpPr>
        <xdr:cNvPr id="7287160" name="Oval 180">
          <a:extLst>
            <a:ext uri="{FF2B5EF4-FFF2-40B4-BE49-F238E27FC236}">
              <a16:creationId xmlns:a16="http://schemas.microsoft.com/office/drawing/2014/main" id="{A5953D26-3062-4678-B0CB-53E493CFAD27}"/>
            </a:ext>
          </a:extLst>
        </xdr:cNvPr>
        <xdr:cNvSpPr>
          <a:spLocks noChangeArrowheads="1"/>
        </xdr:cNvSpPr>
      </xdr:nvSpPr>
      <xdr:spPr bwMode="auto">
        <a:xfrm>
          <a:off x="13271500" y="340614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271463</xdr:colOff>
      <xdr:row>123</xdr:row>
      <xdr:rowOff>228600</xdr:rowOff>
    </xdr:from>
    <xdr:to>
      <xdr:col>32</xdr:col>
      <xdr:colOff>9525</xdr:colOff>
      <xdr:row>123</xdr:row>
      <xdr:rowOff>228600</xdr:rowOff>
    </xdr:to>
    <xdr:cxnSp macro="">
      <xdr:nvCxnSpPr>
        <xdr:cNvPr id="8453293" name="AutoShape 181">
          <a:extLst>
            <a:ext uri="{FF2B5EF4-FFF2-40B4-BE49-F238E27FC236}">
              <a16:creationId xmlns:a16="http://schemas.microsoft.com/office/drawing/2014/main" id="{9F382444-DA87-4E7B-9AC1-187B10F3FDE1}"/>
            </a:ext>
          </a:extLst>
        </xdr:cNvPr>
        <xdr:cNvCxnSpPr>
          <a:cxnSpLocks noChangeShapeType="1"/>
          <a:stCxn id="7287155" idx="6"/>
          <a:endCxn id="7287160" idx="2"/>
        </xdr:cNvCxnSpPr>
      </xdr:nvCxnSpPr>
      <xdr:spPr bwMode="auto">
        <a:xfrm>
          <a:off x="11815763" y="33980438"/>
          <a:ext cx="68580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43498</xdr:colOff>
      <xdr:row>126</xdr:row>
      <xdr:rowOff>25083</xdr:rowOff>
    </xdr:from>
    <xdr:to>
      <xdr:col>33</xdr:col>
      <xdr:colOff>47675</xdr:colOff>
      <xdr:row>128</xdr:row>
      <xdr:rowOff>469</xdr:rowOff>
    </xdr:to>
    <xdr:sp macro="" textlink="">
      <xdr:nvSpPr>
        <xdr:cNvPr id="7287162" name="Oval 182">
          <a:extLst>
            <a:ext uri="{FF2B5EF4-FFF2-40B4-BE49-F238E27FC236}">
              <a16:creationId xmlns:a16="http://schemas.microsoft.com/office/drawing/2014/main" id="{4AC7B1E9-84A9-4CB5-88A5-181D3429DEDF}"/>
            </a:ext>
          </a:extLst>
        </xdr:cNvPr>
        <xdr:cNvSpPr>
          <a:spLocks noChangeArrowheads="1"/>
        </xdr:cNvSpPr>
      </xdr:nvSpPr>
      <xdr:spPr bwMode="auto">
        <a:xfrm>
          <a:off x="13284200" y="345567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109538</xdr:colOff>
      <xdr:row>124</xdr:row>
      <xdr:rowOff>190500</xdr:rowOff>
    </xdr:from>
    <xdr:to>
      <xdr:col>32</xdr:col>
      <xdr:colOff>38100</xdr:colOff>
      <xdr:row>126</xdr:row>
      <xdr:rowOff>228600</xdr:rowOff>
    </xdr:to>
    <xdr:cxnSp macro="">
      <xdr:nvCxnSpPr>
        <xdr:cNvPr id="8453295" name="AutoShape 183">
          <a:extLst>
            <a:ext uri="{FF2B5EF4-FFF2-40B4-BE49-F238E27FC236}">
              <a16:creationId xmlns:a16="http://schemas.microsoft.com/office/drawing/2014/main" id="{AE7633BD-89D6-465D-B41A-E72F7330E29E}"/>
            </a:ext>
          </a:extLst>
        </xdr:cNvPr>
        <xdr:cNvCxnSpPr>
          <a:cxnSpLocks noChangeShapeType="1"/>
          <a:stCxn id="7287155" idx="4"/>
          <a:endCxn id="7287162" idx="2"/>
        </xdr:cNvCxnSpPr>
      </xdr:nvCxnSpPr>
      <xdr:spPr bwMode="auto">
        <a:xfrm rot="16200000" flipH="1">
          <a:off x="11958638" y="33894713"/>
          <a:ext cx="323850" cy="819150"/>
        </a:xfrm>
        <a:prstGeom prst="bentConnector2">
          <a:avLst/>
        </a:prstGeom>
        <a:noFill/>
        <a:ln w="9525">
          <a:solidFill>
            <a:srgbClr val="FF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33</xdr:col>
      <xdr:colOff>117793</xdr:colOff>
      <xdr:row>123</xdr:row>
      <xdr:rowOff>11038</xdr:rowOff>
    </xdr:from>
    <xdr:ext cx="374974" cy="170560"/>
    <xdr:sp macro="" textlink="">
      <xdr:nvSpPr>
        <xdr:cNvPr id="5304" name="Text Box 184">
          <a:extLst>
            <a:ext uri="{FF2B5EF4-FFF2-40B4-BE49-F238E27FC236}">
              <a16:creationId xmlns:a16="http://schemas.microsoft.com/office/drawing/2014/main" id="{AC19D57C-F8CE-4F32-BF71-587F57006C1E}"/>
            </a:ext>
          </a:extLst>
        </xdr:cNvPr>
        <xdr:cNvSpPr txBox="1">
          <a:spLocks noChangeArrowheads="1"/>
        </xdr:cNvSpPr>
      </xdr:nvSpPr>
      <xdr:spPr bwMode="auto">
        <a:xfrm>
          <a:off x="12853279" y="33796773"/>
          <a:ext cx="374974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1.1.11</a:t>
          </a:r>
        </a:p>
      </xdr:txBody>
    </xdr:sp>
    <xdr:clientData/>
  </xdr:oneCellAnchor>
  <xdr:oneCellAnchor>
    <xdr:from>
      <xdr:col>29</xdr:col>
      <xdr:colOff>155893</xdr:colOff>
      <xdr:row>125</xdr:row>
      <xdr:rowOff>97789</xdr:rowOff>
    </xdr:from>
    <xdr:ext cx="374974" cy="170560"/>
    <xdr:sp macro="" textlink="">
      <xdr:nvSpPr>
        <xdr:cNvPr id="5305" name="Text Box 185">
          <a:extLst>
            <a:ext uri="{FF2B5EF4-FFF2-40B4-BE49-F238E27FC236}">
              <a16:creationId xmlns:a16="http://schemas.microsoft.com/office/drawing/2014/main" id="{2EE89A92-5BC0-4117-A341-1DBAB00CA6EE}"/>
            </a:ext>
          </a:extLst>
        </xdr:cNvPr>
        <xdr:cNvSpPr txBox="1">
          <a:spLocks noChangeArrowheads="1"/>
        </xdr:cNvSpPr>
      </xdr:nvSpPr>
      <xdr:spPr bwMode="auto">
        <a:xfrm>
          <a:off x="11972497" y="34208495"/>
          <a:ext cx="374974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1.1.10</a:t>
          </a:r>
        </a:p>
      </xdr:txBody>
    </xdr:sp>
    <xdr:clientData/>
  </xdr:oneCellAnchor>
  <xdr:twoCellAnchor>
    <xdr:from>
      <xdr:col>36</xdr:col>
      <xdr:colOff>0</xdr:colOff>
      <xdr:row>123</xdr:row>
      <xdr:rowOff>35877</xdr:rowOff>
    </xdr:from>
    <xdr:to>
      <xdr:col>37</xdr:col>
      <xdr:colOff>23985</xdr:colOff>
      <xdr:row>125</xdr:row>
      <xdr:rowOff>4133</xdr:rowOff>
    </xdr:to>
    <xdr:sp macro="" textlink="">
      <xdr:nvSpPr>
        <xdr:cNvPr id="7287166" name="Oval 186">
          <a:extLst>
            <a:ext uri="{FF2B5EF4-FFF2-40B4-BE49-F238E27FC236}">
              <a16:creationId xmlns:a16="http://schemas.microsoft.com/office/drawing/2014/main" id="{508DFBEA-1DE5-4E3A-84FA-D65821A28483}"/>
            </a:ext>
          </a:extLst>
        </xdr:cNvPr>
        <xdr:cNvSpPr>
          <a:spLocks noChangeArrowheads="1"/>
        </xdr:cNvSpPr>
      </xdr:nvSpPr>
      <xdr:spPr bwMode="auto">
        <a:xfrm>
          <a:off x="14325600" y="340741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36</xdr:col>
      <xdr:colOff>0</xdr:colOff>
      <xdr:row>126</xdr:row>
      <xdr:rowOff>25083</xdr:rowOff>
    </xdr:from>
    <xdr:to>
      <xdr:col>37</xdr:col>
      <xdr:colOff>23985</xdr:colOff>
      <xdr:row>128</xdr:row>
      <xdr:rowOff>469</xdr:rowOff>
    </xdr:to>
    <xdr:sp macro="" textlink="">
      <xdr:nvSpPr>
        <xdr:cNvPr id="7287167" name="Oval 187">
          <a:extLst>
            <a:ext uri="{FF2B5EF4-FFF2-40B4-BE49-F238E27FC236}">
              <a16:creationId xmlns:a16="http://schemas.microsoft.com/office/drawing/2014/main" id="{8446B1E3-D161-4C91-B9BF-561B52E1E577}"/>
            </a:ext>
          </a:extLst>
        </xdr:cNvPr>
        <xdr:cNvSpPr>
          <a:spLocks noChangeArrowheads="1"/>
        </xdr:cNvSpPr>
      </xdr:nvSpPr>
      <xdr:spPr bwMode="auto">
        <a:xfrm>
          <a:off x="14325600" y="345567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33</xdr:col>
      <xdr:colOff>38100</xdr:colOff>
      <xdr:row>123</xdr:row>
      <xdr:rowOff>228600</xdr:rowOff>
    </xdr:from>
    <xdr:to>
      <xdr:col>36</xdr:col>
      <xdr:colOff>0</xdr:colOff>
      <xdr:row>124</xdr:row>
      <xdr:rowOff>0</xdr:rowOff>
    </xdr:to>
    <xdr:cxnSp macro="">
      <xdr:nvCxnSpPr>
        <xdr:cNvPr id="8453300" name="AutoShape 190">
          <a:extLst>
            <a:ext uri="{FF2B5EF4-FFF2-40B4-BE49-F238E27FC236}">
              <a16:creationId xmlns:a16="http://schemas.microsoft.com/office/drawing/2014/main" id="{E41A3049-F315-49FA-88B4-4911080A0490}"/>
            </a:ext>
          </a:extLst>
        </xdr:cNvPr>
        <xdr:cNvCxnSpPr>
          <a:cxnSpLocks noChangeShapeType="1"/>
          <a:stCxn id="7287160" idx="6"/>
          <a:endCxn id="7287166" idx="2"/>
        </xdr:cNvCxnSpPr>
      </xdr:nvCxnSpPr>
      <xdr:spPr bwMode="auto">
        <a:xfrm>
          <a:off x="12777788" y="33980438"/>
          <a:ext cx="70485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57150</xdr:colOff>
      <xdr:row>126</xdr:row>
      <xdr:rowOff>228600</xdr:rowOff>
    </xdr:from>
    <xdr:to>
      <xdr:col>36</xdr:col>
      <xdr:colOff>0</xdr:colOff>
      <xdr:row>126</xdr:row>
      <xdr:rowOff>228600</xdr:rowOff>
    </xdr:to>
    <xdr:cxnSp macro="">
      <xdr:nvCxnSpPr>
        <xdr:cNvPr id="8453301" name="AutoShape 191">
          <a:extLst>
            <a:ext uri="{FF2B5EF4-FFF2-40B4-BE49-F238E27FC236}">
              <a16:creationId xmlns:a16="http://schemas.microsoft.com/office/drawing/2014/main" id="{7FFAEB12-FEF1-4F4E-9A88-48F017CE18A3}"/>
            </a:ext>
          </a:extLst>
        </xdr:cNvPr>
        <xdr:cNvCxnSpPr>
          <a:cxnSpLocks noChangeShapeType="1"/>
          <a:stCxn id="7287162" idx="6"/>
          <a:endCxn id="7287167" idx="2"/>
        </xdr:cNvCxnSpPr>
      </xdr:nvCxnSpPr>
      <xdr:spPr bwMode="auto">
        <a:xfrm>
          <a:off x="12796838" y="34466213"/>
          <a:ext cx="68580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155893</xdr:colOff>
      <xdr:row>123</xdr:row>
      <xdr:rowOff>16436</xdr:rowOff>
    </xdr:from>
    <xdr:ext cx="303673" cy="170560"/>
    <xdr:sp macro="" textlink="">
      <xdr:nvSpPr>
        <xdr:cNvPr id="5312" name="Text Box 192">
          <a:extLst>
            <a:ext uri="{FF2B5EF4-FFF2-40B4-BE49-F238E27FC236}">
              <a16:creationId xmlns:a16="http://schemas.microsoft.com/office/drawing/2014/main" id="{8A6C6D44-57C1-48EB-B021-D5A5ACF0321E}"/>
            </a:ext>
          </a:extLst>
        </xdr:cNvPr>
        <xdr:cNvSpPr txBox="1">
          <a:spLocks noChangeArrowheads="1"/>
        </xdr:cNvSpPr>
      </xdr:nvSpPr>
      <xdr:spPr bwMode="auto">
        <a:xfrm>
          <a:off x="11972497" y="33802171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1.1.9</a:t>
          </a:r>
        </a:p>
      </xdr:txBody>
    </xdr:sp>
    <xdr:clientData/>
  </xdr:oneCellAnchor>
  <xdr:oneCellAnchor>
    <xdr:from>
      <xdr:col>33</xdr:col>
      <xdr:colOff>117793</xdr:colOff>
      <xdr:row>126</xdr:row>
      <xdr:rowOff>10085</xdr:rowOff>
    </xdr:from>
    <xdr:ext cx="374974" cy="170560"/>
    <xdr:sp macro="" textlink="">
      <xdr:nvSpPr>
        <xdr:cNvPr id="5313" name="Text Box 193">
          <a:extLst>
            <a:ext uri="{FF2B5EF4-FFF2-40B4-BE49-F238E27FC236}">
              <a16:creationId xmlns:a16="http://schemas.microsoft.com/office/drawing/2014/main" id="{6BF63AEF-E35F-404F-A40D-9983F2912121}"/>
            </a:ext>
          </a:extLst>
        </xdr:cNvPr>
        <xdr:cNvSpPr txBox="1">
          <a:spLocks noChangeArrowheads="1"/>
        </xdr:cNvSpPr>
      </xdr:nvSpPr>
      <xdr:spPr bwMode="auto">
        <a:xfrm>
          <a:off x="12853279" y="34283277"/>
          <a:ext cx="374974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1.1.12</a:t>
          </a:r>
        </a:p>
      </xdr:txBody>
    </xdr:sp>
    <xdr:clientData/>
  </xdr:oneCellAnchor>
  <xdr:twoCellAnchor>
    <xdr:from>
      <xdr:col>32</xdr:col>
      <xdr:colOff>176213</xdr:colOff>
      <xdr:row>124</xdr:row>
      <xdr:rowOff>190500</xdr:rowOff>
    </xdr:from>
    <xdr:to>
      <xdr:col>32</xdr:col>
      <xdr:colOff>209550</xdr:colOff>
      <xdr:row>126</xdr:row>
      <xdr:rowOff>23813</xdr:rowOff>
    </xdr:to>
    <xdr:cxnSp macro="">
      <xdr:nvCxnSpPr>
        <xdr:cNvPr id="8453304" name="AutoShape 194">
          <a:extLst>
            <a:ext uri="{FF2B5EF4-FFF2-40B4-BE49-F238E27FC236}">
              <a16:creationId xmlns:a16="http://schemas.microsoft.com/office/drawing/2014/main" id="{796F5FD6-A644-4FA5-8AC1-CC1AC8B93CF5}"/>
            </a:ext>
          </a:extLst>
        </xdr:cNvPr>
        <xdr:cNvCxnSpPr>
          <a:cxnSpLocks noChangeShapeType="1"/>
          <a:stCxn id="7287160" idx="4"/>
          <a:endCxn id="7287162" idx="0"/>
        </xdr:cNvCxnSpPr>
      </xdr:nvCxnSpPr>
      <xdr:spPr bwMode="auto">
        <a:xfrm>
          <a:off x="12668250" y="34142363"/>
          <a:ext cx="33338" cy="185737"/>
        </a:xfrm>
        <a:prstGeom prst="straightConnector1">
          <a:avLst/>
        </a:prstGeom>
        <a:noFill/>
        <a:ln w="9525">
          <a:solidFill>
            <a:srgbClr val="FF0000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37</xdr:col>
      <xdr:colOff>9525</xdr:colOff>
      <xdr:row>124</xdr:row>
      <xdr:rowOff>0</xdr:rowOff>
    </xdr:from>
    <xdr:to>
      <xdr:col>41</xdr:col>
      <xdr:colOff>257175</xdr:colOff>
      <xdr:row>154</xdr:row>
      <xdr:rowOff>133350</xdr:rowOff>
    </xdr:to>
    <xdr:cxnSp macro="">
      <xdr:nvCxnSpPr>
        <xdr:cNvPr id="8453305" name="AutoShape 195">
          <a:extLst>
            <a:ext uri="{FF2B5EF4-FFF2-40B4-BE49-F238E27FC236}">
              <a16:creationId xmlns:a16="http://schemas.microsoft.com/office/drawing/2014/main" id="{5E356475-14A5-4C9E-B25A-5B3120B49AC9}"/>
            </a:ext>
          </a:extLst>
        </xdr:cNvPr>
        <xdr:cNvCxnSpPr>
          <a:cxnSpLocks noChangeShapeType="1"/>
          <a:stCxn id="7287166" idx="6"/>
          <a:endCxn id="7287136" idx="0"/>
        </xdr:cNvCxnSpPr>
      </xdr:nvCxnSpPr>
      <xdr:spPr bwMode="auto">
        <a:xfrm>
          <a:off x="13739813" y="33980438"/>
          <a:ext cx="1228725" cy="499110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37</xdr:col>
      <xdr:colOff>9525</xdr:colOff>
      <xdr:row>126</xdr:row>
      <xdr:rowOff>228600</xdr:rowOff>
    </xdr:from>
    <xdr:to>
      <xdr:col>41</xdr:col>
      <xdr:colOff>257175</xdr:colOff>
      <xdr:row>154</xdr:row>
      <xdr:rowOff>133350</xdr:rowOff>
    </xdr:to>
    <xdr:cxnSp macro="">
      <xdr:nvCxnSpPr>
        <xdr:cNvPr id="8453306" name="AutoShape 196">
          <a:extLst>
            <a:ext uri="{FF2B5EF4-FFF2-40B4-BE49-F238E27FC236}">
              <a16:creationId xmlns:a16="http://schemas.microsoft.com/office/drawing/2014/main" id="{86AB2431-9255-4DB4-B0C5-87C70CF088F5}"/>
            </a:ext>
          </a:extLst>
        </xdr:cNvPr>
        <xdr:cNvCxnSpPr>
          <a:cxnSpLocks noChangeShapeType="1"/>
          <a:stCxn id="7287167" idx="6"/>
          <a:endCxn id="7287136" idx="0"/>
        </xdr:cNvCxnSpPr>
      </xdr:nvCxnSpPr>
      <xdr:spPr bwMode="auto">
        <a:xfrm>
          <a:off x="13739813" y="34466213"/>
          <a:ext cx="1228725" cy="45053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176212</xdr:colOff>
      <xdr:row>141</xdr:row>
      <xdr:rowOff>242</xdr:rowOff>
    </xdr:from>
    <xdr:to>
      <xdr:col>25</xdr:col>
      <xdr:colOff>166019</xdr:colOff>
      <xdr:row>142</xdr:row>
      <xdr:rowOff>51215</xdr:rowOff>
    </xdr:to>
    <xdr:sp macro="" textlink="">
      <xdr:nvSpPr>
        <xdr:cNvPr id="7287175" name="Oval 197">
          <a:extLst>
            <a:ext uri="{FF2B5EF4-FFF2-40B4-BE49-F238E27FC236}">
              <a16:creationId xmlns:a16="http://schemas.microsoft.com/office/drawing/2014/main" id="{90478C0B-3E33-47D8-A0E0-06D529D412EA}"/>
            </a:ext>
          </a:extLst>
        </xdr:cNvPr>
        <xdr:cNvSpPr>
          <a:spLocks noChangeArrowheads="1"/>
        </xdr:cNvSpPr>
      </xdr:nvSpPr>
      <xdr:spPr bwMode="auto">
        <a:xfrm>
          <a:off x="11506200" y="36957000"/>
          <a:ext cx="2413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21</xdr:col>
      <xdr:colOff>0</xdr:colOff>
      <xdr:row>141</xdr:row>
      <xdr:rowOff>242</xdr:rowOff>
    </xdr:from>
    <xdr:to>
      <xdr:col>22</xdr:col>
      <xdr:colOff>35828</xdr:colOff>
      <xdr:row>142</xdr:row>
      <xdr:rowOff>51215</xdr:rowOff>
    </xdr:to>
    <xdr:sp macro="" textlink="">
      <xdr:nvSpPr>
        <xdr:cNvPr id="7287176" name="Oval 198">
          <a:extLst>
            <a:ext uri="{FF2B5EF4-FFF2-40B4-BE49-F238E27FC236}">
              <a16:creationId xmlns:a16="http://schemas.microsoft.com/office/drawing/2014/main" id="{8689FF50-6D93-4B40-9A71-26410162F6DC}"/>
            </a:ext>
          </a:extLst>
        </xdr:cNvPr>
        <xdr:cNvSpPr>
          <a:spLocks noChangeArrowheads="1"/>
        </xdr:cNvSpPr>
      </xdr:nvSpPr>
      <xdr:spPr bwMode="auto">
        <a:xfrm>
          <a:off x="10706100" y="36957000"/>
          <a:ext cx="2540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22</xdr:col>
      <xdr:colOff>38100</xdr:colOff>
      <xdr:row>141</xdr:row>
      <xdr:rowOff>95250</xdr:rowOff>
    </xdr:from>
    <xdr:to>
      <xdr:col>24</xdr:col>
      <xdr:colOff>157163</xdr:colOff>
      <xdr:row>141</xdr:row>
      <xdr:rowOff>95250</xdr:rowOff>
    </xdr:to>
    <xdr:cxnSp macro="">
      <xdr:nvCxnSpPr>
        <xdr:cNvPr id="8453309" name="AutoShape 199">
          <a:extLst>
            <a:ext uri="{FF2B5EF4-FFF2-40B4-BE49-F238E27FC236}">
              <a16:creationId xmlns:a16="http://schemas.microsoft.com/office/drawing/2014/main" id="{8186EAE5-2E66-4A80-B367-ACC109CE5234}"/>
            </a:ext>
          </a:extLst>
        </xdr:cNvPr>
        <xdr:cNvCxnSpPr>
          <a:cxnSpLocks noChangeShapeType="1"/>
          <a:stCxn id="7287176" idx="6"/>
          <a:endCxn id="7287175" idx="2"/>
        </xdr:cNvCxnSpPr>
      </xdr:nvCxnSpPr>
      <xdr:spPr bwMode="auto">
        <a:xfrm>
          <a:off x="10353675" y="36828413"/>
          <a:ext cx="547688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22</xdr:col>
      <xdr:colOff>109220</xdr:colOff>
      <xdr:row>140</xdr:row>
      <xdr:rowOff>0</xdr:rowOff>
    </xdr:from>
    <xdr:ext cx="303673" cy="170560"/>
    <xdr:sp macro="" textlink="">
      <xdr:nvSpPr>
        <xdr:cNvPr id="5320" name="Text Box 200">
          <a:extLst>
            <a:ext uri="{FF2B5EF4-FFF2-40B4-BE49-F238E27FC236}">
              <a16:creationId xmlns:a16="http://schemas.microsoft.com/office/drawing/2014/main" id="{7B995948-6C02-42EA-8D52-E7911356476D}"/>
            </a:ext>
          </a:extLst>
        </xdr:cNvPr>
        <xdr:cNvSpPr txBox="1">
          <a:spLocks noChangeArrowheads="1"/>
        </xdr:cNvSpPr>
      </xdr:nvSpPr>
      <xdr:spPr bwMode="auto">
        <a:xfrm>
          <a:off x="10435441" y="36547986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1.2.6</a:t>
          </a:r>
        </a:p>
      </xdr:txBody>
    </xdr:sp>
    <xdr:clientData/>
  </xdr:oneCellAnchor>
  <xdr:twoCellAnchor>
    <xdr:from>
      <xdr:col>28</xdr:col>
      <xdr:colOff>162560</xdr:colOff>
      <xdr:row>141</xdr:row>
      <xdr:rowOff>242</xdr:rowOff>
    </xdr:from>
    <xdr:to>
      <xdr:col>29</xdr:col>
      <xdr:colOff>191031</xdr:colOff>
      <xdr:row>142</xdr:row>
      <xdr:rowOff>51215</xdr:rowOff>
    </xdr:to>
    <xdr:sp macro="" textlink="">
      <xdr:nvSpPr>
        <xdr:cNvPr id="7287179" name="Oval 201">
          <a:extLst>
            <a:ext uri="{FF2B5EF4-FFF2-40B4-BE49-F238E27FC236}">
              <a16:creationId xmlns:a16="http://schemas.microsoft.com/office/drawing/2014/main" id="{DE7077D1-821B-420A-8622-EF44079FB683}"/>
            </a:ext>
          </a:extLst>
        </xdr:cNvPr>
        <xdr:cNvSpPr>
          <a:spLocks noChangeArrowheads="1"/>
        </xdr:cNvSpPr>
      </xdr:nvSpPr>
      <xdr:spPr bwMode="auto">
        <a:xfrm>
          <a:off x="12407900" y="36957000"/>
          <a:ext cx="2540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32</xdr:col>
      <xdr:colOff>2278</xdr:colOff>
      <xdr:row>141</xdr:row>
      <xdr:rowOff>242</xdr:rowOff>
    </xdr:from>
    <xdr:to>
      <xdr:col>33</xdr:col>
      <xdr:colOff>49036</xdr:colOff>
      <xdr:row>142</xdr:row>
      <xdr:rowOff>51215</xdr:rowOff>
    </xdr:to>
    <xdr:sp macro="" textlink="">
      <xdr:nvSpPr>
        <xdr:cNvPr id="7287180" name="Oval 202">
          <a:extLst>
            <a:ext uri="{FF2B5EF4-FFF2-40B4-BE49-F238E27FC236}">
              <a16:creationId xmlns:a16="http://schemas.microsoft.com/office/drawing/2014/main" id="{FB005DFF-A19B-4CCC-B590-1B38B0A2F64B}"/>
            </a:ext>
          </a:extLst>
        </xdr:cNvPr>
        <xdr:cNvSpPr>
          <a:spLocks noChangeArrowheads="1"/>
        </xdr:cNvSpPr>
      </xdr:nvSpPr>
      <xdr:spPr bwMode="auto">
        <a:xfrm>
          <a:off x="13195300" y="36957000"/>
          <a:ext cx="3683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25</xdr:col>
      <xdr:colOff>176213</xdr:colOff>
      <xdr:row>141</xdr:row>
      <xdr:rowOff>95250</xdr:rowOff>
    </xdr:from>
    <xdr:to>
      <xdr:col>28</xdr:col>
      <xdr:colOff>152400</xdr:colOff>
      <xdr:row>141</xdr:row>
      <xdr:rowOff>95250</xdr:rowOff>
    </xdr:to>
    <xdr:cxnSp macro="">
      <xdr:nvCxnSpPr>
        <xdr:cNvPr id="8453313" name="AutoShape 203">
          <a:extLst>
            <a:ext uri="{FF2B5EF4-FFF2-40B4-BE49-F238E27FC236}">
              <a16:creationId xmlns:a16="http://schemas.microsoft.com/office/drawing/2014/main" id="{612FB259-9665-43BD-BEEF-BFAB83935156}"/>
            </a:ext>
          </a:extLst>
        </xdr:cNvPr>
        <xdr:cNvCxnSpPr>
          <a:cxnSpLocks noChangeShapeType="1"/>
          <a:stCxn id="7287175" idx="6"/>
          <a:endCxn id="7287179" idx="2"/>
        </xdr:cNvCxnSpPr>
      </xdr:nvCxnSpPr>
      <xdr:spPr bwMode="auto">
        <a:xfrm>
          <a:off x="11134725" y="36828413"/>
          <a:ext cx="61912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176213</xdr:colOff>
      <xdr:row>141</xdr:row>
      <xdr:rowOff>95250</xdr:rowOff>
    </xdr:from>
    <xdr:to>
      <xdr:col>31</xdr:col>
      <xdr:colOff>304800</xdr:colOff>
      <xdr:row>141</xdr:row>
      <xdr:rowOff>95250</xdr:rowOff>
    </xdr:to>
    <xdr:cxnSp macro="">
      <xdr:nvCxnSpPr>
        <xdr:cNvPr id="8453314" name="AutoShape 204">
          <a:extLst>
            <a:ext uri="{FF2B5EF4-FFF2-40B4-BE49-F238E27FC236}">
              <a16:creationId xmlns:a16="http://schemas.microsoft.com/office/drawing/2014/main" id="{BDF2CC0B-03DB-4262-BE4C-BD8A09C14E62}"/>
            </a:ext>
          </a:extLst>
        </xdr:cNvPr>
        <xdr:cNvCxnSpPr>
          <a:cxnSpLocks noChangeShapeType="1"/>
          <a:stCxn id="7287179" idx="6"/>
          <a:endCxn id="7287180" idx="2"/>
        </xdr:cNvCxnSpPr>
      </xdr:nvCxnSpPr>
      <xdr:spPr bwMode="auto">
        <a:xfrm>
          <a:off x="11991975" y="36828413"/>
          <a:ext cx="500063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200978</xdr:colOff>
      <xdr:row>140</xdr:row>
      <xdr:rowOff>0</xdr:rowOff>
    </xdr:from>
    <xdr:ext cx="303673" cy="170560"/>
    <xdr:sp macro="" textlink="">
      <xdr:nvSpPr>
        <xdr:cNvPr id="5325" name="Text Box 205">
          <a:extLst>
            <a:ext uri="{FF2B5EF4-FFF2-40B4-BE49-F238E27FC236}">
              <a16:creationId xmlns:a16="http://schemas.microsoft.com/office/drawing/2014/main" id="{36CBEAC5-39AA-4DAB-86C2-1C25E6A1F7F0}"/>
            </a:ext>
          </a:extLst>
        </xdr:cNvPr>
        <xdr:cNvSpPr txBox="1">
          <a:spLocks noChangeArrowheads="1"/>
        </xdr:cNvSpPr>
      </xdr:nvSpPr>
      <xdr:spPr bwMode="auto">
        <a:xfrm>
          <a:off x="11165934" y="36547986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1.2.7</a:t>
          </a:r>
        </a:p>
      </xdr:txBody>
    </xdr:sp>
    <xdr:clientData/>
  </xdr:oneCellAnchor>
  <xdr:oneCellAnchor>
    <xdr:from>
      <xdr:col>30</xdr:col>
      <xdr:colOff>2167</xdr:colOff>
      <xdr:row>140</xdr:row>
      <xdr:rowOff>52388</xdr:rowOff>
    </xdr:from>
    <xdr:ext cx="303673" cy="170560"/>
    <xdr:sp macro="" textlink="">
      <xdr:nvSpPr>
        <xdr:cNvPr id="5326" name="Text Box 206">
          <a:extLst>
            <a:ext uri="{FF2B5EF4-FFF2-40B4-BE49-F238E27FC236}">
              <a16:creationId xmlns:a16="http://schemas.microsoft.com/office/drawing/2014/main" id="{60153281-3E7C-4E83-BF98-7267E1ECA10C}"/>
            </a:ext>
          </a:extLst>
        </xdr:cNvPr>
        <xdr:cNvSpPr txBox="1">
          <a:spLocks noChangeArrowheads="1"/>
        </xdr:cNvSpPr>
      </xdr:nvSpPr>
      <xdr:spPr bwMode="auto">
        <a:xfrm>
          <a:off x="12031682" y="3660037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1.2.8</a:t>
          </a:r>
        </a:p>
      </xdr:txBody>
    </xdr:sp>
    <xdr:clientData/>
  </xdr:oneCellAnchor>
  <xdr:twoCellAnchor>
    <xdr:from>
      <xdr:col>35</xdr:col>
      <xdr:colOff>76518</xdr:colOff>
      <xdr:row>141</xdr:row>
      <xdr:rowOff>242</xdr:rowOff>
    </xdr:from>
    <xdr:to>
      <xdr:col>36</xdr:col>
      <xdr:colOff>153161</xdr:colOff>
      <xdr:row>142</xdr:row>
      <xdr:rowOff>51215</xdr:rowOff>
    </xdr:to>
    <xdr:sp macro="" textlink="">
      <xdr:nvSpPr>
        <xdr:cNvPr id="7287185" name="Oval 207">
          <a:extLst>
            <a:ext uri="{FF2B5EF4-FFF2-40B4-BE49-F238E27FC236}">
              <a16:creationId xmlns:a16="http://schemas.microsoft.com/office/drawing/2014/main" id="{7E19A307-10EB-4359-AD3F-A7F88F50AC6F}"/>
            </a:ext>
          </a:extLst>
        </xdr:cNvPr>
        <xdr:cNvSpPr>
          <a:spLocks noChangeArrowheads="1"/>
        </xdr:cNvSpPr>
      </xdr:nvSpPr>
      <xdr:spPr bwMode="auto">
        <a:xfrm>
          <a:off x="14109700" y="36957000"/>
          <a:ext cx="3175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33</xdr:col>
      <xdr:colOff>57150</xdr:colOff>
      <xdr:row>141</xdr:row>
      <xdr:rowOff>95250</xdr:rowOff>
    </xdr:from>
    <xdr:to>
      <xdr:col>35</xdr:col>
      <xdr:colOff>80963</xdr:colOff>
      <xdr:row>141</xdr:row>
      <xdr:rowOff>95250</xdr:rowOff>
    </xdr:to>
    <xdr:cxnSp macro="">
      <xdr:nvCxnSpPr>
        <xdr:cNvPr id="8453318" name="AutoShape 208">
          <a:extLst>
            <a:ext uri="{FF2B5EF4-FFF2-40B4-BE49-F238E27FC236}">
              <a16:creationId xmlns:a16="http://schemas.microsoft.com/office/drawing/2014/main" id="{E3BA493A-1F74-4B61-9241-B0B2AEAE3997}"/>
            </a:ext>
          </a:extLst>
        </xdr:cNvPr>
        <xdr:cNvCxnSpPr>
          <a:cxnSpLocks noChangeShapeType="1"/>
          <a:stCxn id="7287180" idx="6"/>
          <a:endCxn id="7287185" idx="2"/>
        </xdr:cNvCxnSpPr>
      </xdr:nvCxnSpPr>
      <xdr:spPr bwMode="auto">
        <a:xfrm>
          <a:off x="12796838" y="36828413"/>
          <a:ext cx="51911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33</xdr:col>
      <xdr:colOff>207645</xdr:colOff>
      <xdr:row>140</xdr:row>
      <xdr:rowOff>149859</xdr:rowOff>
    </xdr:from>
    <xdr:ext cx="303673" cy="170560"/>
    <xdr:sp macro="" textlink="">
      <xdr:nvSpPr>
        <xdr:cNvPr id="5329" name="Text Box 209">
          <a:extLst>
            <a:ext uri="{FF2B5EF4-FFF2-40B4-BE49-F238E27FC236}">
              <a16:creationId xmlns:a16="http://schemas.microsoft.com/office/drawing/2014/main" id="{FDB75804-3E63-4871-917A-38557224E7F6}"/>
            </a:ext>
          </a:extLst>
        </xdr:cNvPr>
        <xdr:cNvSpPr txBox="1">
          <a:spLocks noChangeArrowheads="1"/>
        </xdr:cNvSpPr>
      </xdr:nvSpPr>
      <xdr:spPr bwMode="auto">
        <a:xfrm>
          <a:off x="12943131" y="3669784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1.2.9</a:t>
          </a:r>
        </a:p>
      </xdr:txBody>
    </xdr:sp>
    <xdr:clientData/>
  </xdr:oneCellAnchor>
  <xdr:twoCellAnchor>
    <xdr:from>
      <xdr:col>21</xdr:col>
      <xdr:colOff>157163</xdr:colOff>
      <xdr:row>136</xdr:row>
      <xdr:rowOff>23813</xdr:rowOff>
    </xdr:from>
    <xdr:to>
      <xdr:col>21</xdr:col>
      <xdr:colOff>157163</xdr:colOff>
      <xdr:row>140</xdr:row>
      <xdr:rowOff>152400</xdr:rowOff>
    </xdr:to>
    <xdr:cxnSp macro="">
      <xdr:nvCxnSpPr>
        <xdr:cNvPr id="8453320" name="AutoShape 210">
          <a:extLst>
            <a:ext uri="{FF2B5EF4-FFF2-40B4-BE49-F238E27FC236}">
              <a16:creationId xmlns:a16="http://schemas.microsoft.com/office/drawing/2014/main" id="{018A7220-45CE-4B22-852B-AECEF5EE6E66}"/>
            </a:ext>
          </a:extLst>
        </xdr:cNvPr>
        <xdr:cNvCxnSpPr>
          <a:cxnSpLocks noChangeShapeType="1"/>
          <a:stCxn id="7287094" idx="4"/>
          <a:endCxn id="7287176" idx="0"/>
        </xdr:cNvCxnSpPr>
      </xdr:nvCxnSpPr>
      <xdr:spPr bwMode="auto">
        <a:xfrm>
          <a:off x="10258425" y="35947350"/>
          <a:ext cx="0" cy="776288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38</xdr:col>
      <xdr:colOff>136207</xdr:colOff>
      <xdr:row>141</xdr:row>
      <xdr:rowOff>242</xdr:rowOff>
    </xdr:from>
    <xdr:to>
      <xdr:col>39</xdr:col>
      <xdr:colOff>170821</xdr:colOff>
      <xdr:row>142</xdr:row>
      <xdr:rowOff>51215</xdr:rowOff>
    </xdr:to>
    <xdr:sp macro="" textlink="">
      <xdr:nvSpPr>
        <xdr:cNvPr id="7287189" name="Oval 211">
          <a:extLst>
            <a:ext uri="{FF2B5EF4-FFF2-40B4-BE49-F238E27FC236}">
              <a16:creationId xmlns:a16="http://schemas.microsoft.com/office/drawing/2014/main" id="{978D4912-5CE2-417B-B93D-00C3880B623C}"/>
            </a:ext>
          </a:extLst>
        </xdr:cNvPr>
        <xdr:cNvSpPr>
          <a:spLocks noChangeArrowheads="1"/>
        </xdr:cNvSpPr>
      </xdr:nvSpPr>
      <xdr:spPr bwMode="auto">
        <a:xfrm>
          <a:off x="14935200" y="36957000"/>
          <a:ext cx="3175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39</xdr:col>
      <xdr:colOff>176213</xdr:colOff>
      <xdr:row>141</xdr:row>
      <xdr:rowOff>95250</xdr:rowOff>
    </xdr:from>
    <xdr:to>
      <xdr:col>41</xdr:col>
      <xdr:colOff>257175</xdr:colOff>
      <xdr:row>154</xdr:row>
      <xdr:rowOff>133350</xdr:rowOff>
    </xdr:to>
    <xdr:cxnSp macro="">
      <xdr:nvCxnSpPr>
        <xdr:cNvPr id="8453322" name="AutoShape 214">
          <a:extLst>
            <a:ext uri="{FF2B5EF4-FFF2-40B4-BE49-F238E27FC236}">
              <a16:creationId xmlns:a16="http://schemas.microsoft.com/office/drawing/2014/main" id="{A33069EF-3C29-4F0A-9C06-EB3951D34CB3}"/>
            </a:ext>
          </a:extLst>
        </xdr:cNvPr>
        <xdr:cNvCxnSpPr>
          <a:cxnSpLocks noChangeShapeType="1"/>
          <a:stCxn id="7287189" idx="6"/>
          <a:endCxn id="7287136" idx="0"/>
        </xdr:cNvCxnSpPr>
      </xdr:nvCxnSpPr>
      <xdr:spPr bwMode="auto">
        <a:xfrm>
          <a:off x="14401800" y="36828413"/>
          <a:ext cx="566738" cy="21431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176213</xdr:colOff>
      <xdr:row>142</xdr:row>
      <xdr:rowOff>57150</xdr:rowOff>
    </xdr:from>
    <xdr:to>
      <xdr:col>39</xdr:col>
      <xdr:colOff>0</xdr:colOff>
      <xdr:row>142</xdr:row>
      <xdr:rowOff>95250</xdr:rowOff>
    </xdr:to>
    <xdr:cxnSp macro="">
      <xdr:nvCxnSpPr>
        <xdr:cNvPr id="8453323" name="AutoShape 216">
          <a:extLst>
            <a:ext uri="{FF2B5EF4-FFF2-40B4-BE49-F238E27FC236}">
              <a16:creationId xmlns:a16="http://schemas.microsoft.com/office/drawing/2014/main" id="{EADF663C-CE03-44BE-B0A0-6B54D2EB7F98}"/>
            </a:ext>
          </a:extLst>
        </xdr:cNvPr>
        <xdr:cNvCxnSpPr>
          <a:cxnSpLocks noChangeShapeType="1"/>
          <a:stCxn id="7287180" idx="4"/>
          <a:endCxn id="7287189" idx="4"/>
        </xdr:cNvCxnSpPr>
      </xdr:nvCxnSpPr>
      <xdr:spPr bwMode="auto">
        <a:xfrm rot="16200000" flipH="1">
          <a:off x="13427869" y="36192619"/>
          <a:ext cx="38100" cy="1557338"/>
        </a:xfrm>
        <a:prstGeom prst="bentConnector3">
          <a:avLst>
            <a:gd name="adj1" fmla="val 2400000"/>
          </a:avLst>
        </a:prstGeom>
        <a:noFill/>
        <a:ln w="9525">
          <a:solidFill>
            <a:srgbClr val="FF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34</xdr:col>
      <xdr:colOff>211455</xdr:colOff>
      <xdr:row>142</xdr:row>
      <xdr:rowOff>135572</xdr:rowOff>
    </xdr:from>
    <xdr:ext cx="374974" cy="170560"/>
    <xdr:sp macro="" textlink="">
      <xdr:nvSpPr>
        <xdr:cNvPr id="5337" name="Text Box 217">
          <a:extLst>
            <a:ext uri="{FF2B5EF4-FFF2-40B4-BE49-F238E27FC236}">
              <a16:creationId xmlns:a16="http://schemas.microsoft.com/office/drawing/2014/main" id="{5388E8E7-9AC2-49C5-A78D-56593FB4D7C0}"/>
            </a:ext>
          </a:extLst>
        </xdr:cNvPr>
        <xdr:cNvSpPr txBox="1">
          <a:spLocks noChangeArrowheads="1"/>
        </xdr:cNvSpPr>
      </xdr:nvSpPr>
      <xdr:spPr bwMode="auto">
        <a:xfrm>
          <a:off x="13193470" y="37008528"/>
          <a:ext cx="374974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1.2.10</a:t>
          </a:r>
        </a:p>
      </xdr:txBody>
    </xdr:sp>
    <xdr:clientData/>
  </xdr:oneCellAnchor>
  <xdr:twoCellAnchor>
    <xdr:from>
      <xdr:col>28</xdr:col>
      <xdr:colOff>162560</xdr:colOff>
      <xdr:row>145</xdr:row>
      <xdr:rowOff>25083</xdr:rowOff>
    </xdr:from>
    <xdr:to>
      <xdr:col>29</xdr:col>
      <xdr:colOff>191031</xdr:colOff>
      <xdr:row>146</xdr:row>
      <xdr:rowOff>152421</xdr:rowOff>
    </xdr:to>
    <xdr:sp macro="" textlink="">
      <xdr:nvSpPr>
        <xdr:cNvPr id="7287193" name="Oval 218">
          <a:extLst>
            <a:ext uri="{FF2B5EF4-FFF2-40B4-BE49-F238E27FC236}">
              <a16:creationId xmlns:a16="http://schemas.microsoft.com/office/drawing/2014/main" id="{F8078292-2E75-43A8-86AF-D27819CB811E}"/>
            </a:ext>
          </a:extLst>
        </xdr:cNvPr>
        <xdr:cNvSpPr>
          <a:spLocks noChangeArrowheads="1"/>
        </xdr:cNvSpPr>
      </xdr:nvSpPr>
      <xdr:spPr bwMode="auto">
        <a:xfrm>
          <a:off x="12407900" y="376936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29</xdr:col>
      <xdr:colOff>14288</xdr:colOff>
      <xdr:row>142</xdr:row>
      <xdr:rowOff>57150</xdr:rowOff>
    </xdr:from>
    <xdr:to>
      <xdr:col>29</xdr:col>
      <xdr:colOff>14288</xdr:colOff>
      <xdr:row>145</xdr:row>
      <xdr:rowOff>23813</xdr:rowOff>
    </xdr:to>
    <xdr:cxnSp macro="">
      <xdr:nvCxnSpPr>
        <xdr:cNvPr id="8453326" name="AutoShape 219">
          <a:extLst>
            <a:ext uri="{FF2B5EF4-FFF2-40B4-BE49-F238E27FC236}">
              <a16:creationId xmlns:a16="http://schemas.microsoft.com/office/drawing/2014/main" id="{3CAA4983-1D0E-4561-9D95-4F831EF09C5D}"/>
            </a:ext>
          </a:extLst>
        </xdr:cNvPr>
        <xdr:cNvCxnSpPr>
          <a:cxnSpLocks noChangeShapeType="1"/>
          <a:stCxn id="7287179" idx="4"/>
          <a:endCxn id="7287193" idx="0"/>
        </xdr:cNvCxnSpPr>
      </xdr:nvCxnSpPr>
      <xdr:spPr bwMode="auto">
        <a:xfrm>
          <a:off x="11830050" y="36952238"/>
          <a:ext cx="0" cy="452437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27</xdr:col>
      <xdr:colOff>60326</xdr:colOff>
      <xdr:row>143</xdr:row>
      <xdr:rowOff>86360</xdr:rowOff>
    </xdr:from>
    <xdr:ext cx="303673" cy="170560"/>
    <xdr:sp macro="" textlink="">
      <xdr:nvSpPr>
        <xdr:cNvPr id="5340" name="Text Box 220">
          <a:extLst>
            <a:ext uri="{FF2B5EF4-FFF2-40B4-BE49-F238E27FC236}">
              <a16:creationId xmlns:a16="http://schemas.microsoft.com/office/drawing/2014/main" id="{00F096E1-40B4-40BD-B9B3-B1B270D409D8}"/>
            </a:ext>
          </a:extLst>
        </xdr:cNvPr>
        <xdr:cNvSpPr txBox="1">
          <a:spLocks noChangeArrowheads="1"/>
        </xdr:cNvSpPr>
      </xdr:nvSpPr>
      <xdr:spPr bwMode="auto">
        <a:xfrm>
          <a:off x="11451106" y="37121801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1.3.1</a:t>
          </a:r>
        </a:p>
      </xdr:txBody>
    </xdr:sp>
    <xdr:clientData/>
  </xdr:oneCellAnchor>
  <xdr:twoCellAnchor>
    <xdr:from>
      <xdr:col>29</xdr:col>
      <xdr:colOff>176213</xdr:colOff>
      <xdr:row>145</xdr:row>
      <xdr:rowOff>228600</xdr:rowOff>
    </xdr:from>
    <xdr:to>
      <xdr:col>32</xdr:col>
      <xdr:colOff>80963</xdr:colOff>
      <xdr:row>146</xdr:row>
      <xdr:rowOff>0</xdr:rowOff>
    </xdr:to>
    <xdr:cxnSp macro="">
      <xdr:nvCxnSpPr>
        <xdr:cNvPr id="8453328" name="AutoShape 224">
          <a:extLst>
            <a:ext uri="{FF2B5EF4-FFF2-40B4-BE49-F238E27FC236}">
              <a16:creationId xmlns:a16="http://schemas.microsoft.com/office/drawing/2014/main" id="{2F903197-8D33-47FB-BF0D-5AAF9FEF47E3}"/>
            </a:ext>
          </a:extLst>
        </xdr:cNvPr>
        <xdr:cNvCxnSpPr>
          <a:cxnSpLocks noChangeShapeType="1"/>
          <a:stCxn id="7287193" idx="6"/>
          <a:endCxn id="7287203" idx="2"/>
        </xdr:cNvCxnSpPr>
      </xdr:nvCxnSpPr>
      <xdr:spPr bwMode="auto">
        <a:xfrm>
          <a:off x="11991975" y="37542788"/>
          <a:ext cx="58102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30</xdr:col>
      <xdr:colOff>2167</xdr:colOff>
      <xdr:row>145</xdr:row>
      <xdr:rowOff>13617</xdr:rowOff>
    </xdr:from>
    <xdr:ext cx="303673" cy="170560"/>
    <xdr:sp macro="" textlink="">
      <xdr:nvSpPr>
        <xdr:cNvPr id="5347" name="Text Box 227">
          <a:extLst>
            <a:ext uri="{FF2B5EF4-FFF2-40B4-BE49-F238E27FC236}">
              <a16:creationId xmlns:a16="http://schemas.microsoft.com/office/drawing/2014/main" id="{40F5D9E6-959C-4A27-8BB5-027160025FB2}"/>
            </a:ext>
          </a:extLst>
        </xdr:cNvPr>
        <xdr:cNvSpPr txBox="1">
          <a:spLocks noChangeArrowheads="1"/>
        </xdr:cNvSpPr>
      </xdr:nvSpPr>
      <xdr:spPr bwMode="auto">
        <a:xfrm>
          <a:off x="12031682" y="3737402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1.3.2</a:t>
          </a:r>
        </a:p>
      </xdr:txBody>
    </xdr:sp>
    <xdr:clientData/>
  </xdr:oneCellAnchor>
  <xdr:twoCellAnchor>
    <xdr:from>
      <xdr:col>29</xdr:col>
      <xdr:colOff>176213</xdr:colOff>
      <xdr:row>137</xdr:row>
      <xdr:rowOff>204788</xdr:rowOff>
    </xdr:from>
    <xdr:to>
      <xdr:col>32</xdr:col>
      <xdr:colOff>9525</xdr:colOff>
      <xdr:row>137</xdr:row>
      <xdr:rowOff>204788</xdr:rowOff>
    </xdr:to>
    <xdr:cxnSp macro="">
      <xdr:nvCxnSpPr>
        <xdr:cNvPr id="8453330" name="AutoShape 233">
          <a:extLst>
            <a:ext uri="{FF2B5EF4-FFF2-40B4-BE49-F238E27FC236}">
              <a16:creationId xmlns:a16="http://schemas.microsoft.com/office/drawing/2014/main" id="{979456D6-3F49-4527-AA52-C8BC3934B8EA}"/>
            </a:ext>
          </a:extLst>
        </xdr:cNvPr>
        <xdr:cNvCxnSpPr>
          <a:cxnSpLocks noChangeShapeType="1"/>
          <a:stCxn id="7287201" idx="6"/>
          <a:endCxn id="7287204" idx="2"/>
        </xdr:cNvCxnSpPr>
      </xdr:nvCxnSpPr>
      <xdr:spPr bwMode="auto">
        <a:xfrm>
          <a:off x="11991975" y="36247388"/>
          <a:ext cx="509588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27</xdr:col>
      <xdr:colOff>16454</xdr:colOff>
      <xdr:row>138</xdr:row>
      <xdr:rowOff>151129</xdr:rowOff>
    </xdr:from>
    <xdr:ext cx="303673" cy="170560"/>
    <xdr:sp macro="" textlink="">
      <xdr:nvSpPr>
        <xdr:cNvPr id="5355" name="Text Box 235">
          <a:extLst>
            <a:ext uri="{FF2B5EF4-FFF2-40B4-BE49-F238E27FC236}">
              <a16:creationId xmlns:a16="http://schemas.microsoft.com/office/drawing/2014/main" id="{79C29346-EB8C-4407-BE75-E32549CD8C39}"/>
            </a:ext>
          </a:extLst>
        </xdr:cNvPr>
        <xdr:cNvSpPr txBox="1">
          <a:spLocks noChangeArrowheads="1"/>
        </xdr:cNvSpPr>
      </xdr:nvSpPr>
      <xdr:spPr bwMode="auto">
        <a:xfrm>
          <a:off x="11407234" y="3637414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1.3.3</a:t>
          </a:r>
        </a:p>
      </xdr:txBody>
    </xdr:sp>
    <xdr:clientData/>
  </xdr:oneCellAnchor>
  <xdr:twoCellAnchor editAs="oneCell">
    <xdr:from>
      <xdr:col>30</xdr:col>
      <xdr:colOff>2802</xdr:colOff>
      <xdr:row>137</xdr:row>
      <xdr:rowOff>561</xdr:rowOff>
    </xdr:from>
    <xdr:to>
      <xdr:col>31</xdr:col>
      <xdr:colOff>212337</xdr:colOff>
      <xdr:row>138</xdr:row>
      <xdr:rowOff>37575</xdr:rowOff>
    </xdr:to>
    <xdr:sp macro="" textlink="">
      <xdr:nvSpPr>
        <xdr:cNvPr id="5356" name="Text Box 236">
          <a:extLst>
            <a:ext uri="{FF2B5EF4-FFF2-40B4-BE49-F238E27FC236}">
              <a16:creationId xmlns:a16="http://schemas.microsoft.com/office/drawing/2014/main" id="{22FA23E5-B766-4D99-8AB6-FA0A753D39F1}"/>
            </a:ext>
          </a:extLst>
        </xdr:cNvPr>
        <xdr:cNvSpPr txBox="1">
          <a:spLocks noChangeArrowheads="1"/>
        </xdr:cNvSpPr>
      </xdr:nvSpPr>
      <xdr:spPr bwMode="auto">
        <a:xfrm>
          <a:off x="11153775" y="36366450"/>
          <a:ext cx="352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1.3.4</a:t>
          </a:r>
        </a:p>
      </xdr:txBody>
    </xdr:sp>
    <xdr:clientData/>
  </xdr:twoCellAnchor>
  <xdr:twoCellAnchor>
    <xdr:from>
      <xdr:col>28</xdr:col>
      <xdr:colOff>162560</xdr:colOff>
      <xdr:row>137</xdr:row>
      <xdr:rowOff>0</xdr:rowOff>
    </xdr:from>
    <xdr:to>
      <xdr:col>29</xdr:col>
      <xdr:colOff>191031</xdr:colOff>
      <xdr:row>138</xdr:row>
      <xdr:rowOff>151727</xdr:rowOff>
    </xdr:to>
    <xdr:sp macro="" textlink="">
      <xdr:nvSpPr>
        <xdr:cNvPr id="7287201" name="Oval 237">
          <a:extLst>
            <a:ext uri="{FF2B5EF4-FFF2-40B4-BE49-F238E27FC236}">
              <a16:creationId xmlns:a16="http://schemas.microsoft.com/office/drawing/2014/main" id="{BCD168F8-3F81-411B-ABEE-1C858DDE63E6}"/>
            </a:ext>
          </a:extLst>
        </xdr:cNvPr>
        <xdr:cNvSpPr>
          <a:spLocks noChangeArrowheads="1"/>
        </xdr:cNvSpPr>
      </xdr:nvSpPr>
      <xdr:spPr bwMode="auto">
        <a:xfrm>
          <a:off x="12407900" y="36360100"/>
          <a:ext cx="2540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29</xdr:col>
      <xdr:colOff>14288</xdr:colOff>
      <xdr:row>138</xdr:row>
      <xdr:rowOff>152400</xdr:rowOff>
    </xdr:from>
    <xdr:to>
      <xdr:col>29</xdr:col>
      <xdr:colOff>14288</xdr:colOff>
      <xdr:row>140</xdr:row>
      <xdr:rowOff>152400</xdr:rowOff>
    </xdr:to>
    <xdr:cxnSp macro="">
      <xdr:nvCxnSpPr>
        <xdr:cNvPr id="8453334" name="AutoShape 238">
          <a:extLst>
            <a:ext uri="{FF2B5EF4-FFF2-40B4-BE49-F238E27FC236}">
              <a16:creationId xmlns:a16="http://schemas.microsoft.com/office/drawing/2014/main" id="{2F5637A2-2009-4BE9-A826-AA9D31A504A1}"/>
            </a:ext>
          </a:extLst>
        </xdr:cNvPr>
        <xdr:cNvCxnSpPr>
          <a:cxnSpLocks noChangeShapeType="1"/>
          <a:stCxn id="7287179" idx="0"/>
          <a:endCxn id="7287201" idx="4"/>
        </xdr:cNvCxnSpPr>
      </xdr:nvCxnSpPr>
      <xdr:spPr bwMode="auto">
        <a:xfrm flipV="1">
          <a:off x="11830050" y="36399788"/>
          <a:ext cx="0" cy="32385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81280</xdr:colOff>
      <xdr:row>145</xdr:row>
      <xdr:rowOff>46355</xdr:rowOff>
    </xdr:from>
    <xdr:to>
      <xdr:col>33</xdr:col>
      <xdr:colOff>138391</xdr:colOff>
      <xdr:row>146</xdr:row>
      <xdr:rowOff>153753</xdr:rowOff>
    </xdr:to>
    <xdr:sp macro="" textlink="">
      <xdr:nvSpPr>
        <xdr:cNvPr id="7287203" name="Oval 239">
          <a:extLst>
            <a:ext uri="{FF2B5EF4-FFF2-40B4-BE49-F238E27FC236}">
              <a16:creationId xmlns:a16="http://schemas.microsoft.com/office/drawing/2014/main" id="{697035B9-6A23-4385-B6B0-1E7FFFC6BA23}"/>
            </a:ext>
          </a:extLst>
        </xdr:cNvPr>
        <xdr:cNvSpPr>
          <a:spLocks noChangeArrowheads="1"/>
        </xdr:cNvSpPr>
      </xdr:nvSpPr>
      <xdr:spPr bwMode="auto">
        <a:xfrm>
          <a:off x="13309600" y="377063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32</xdr:col>
      <xdr:colOff>6984</xdr:colOff>
      <xdr:row>137</xdr:row>
      <xdr:rowOff>0</xdr:rowOff>
    </xdr:from>
    <xdr:to>
      <xdr:col>33</xdr:col>
      <xdr:colOff>81548</xdr:colOff>
      <xdr:row>138</xdr:row>
      <xdr:rowOff>151727</xdr:rowOff>
    </xdr:to>
    <xdr:sp macro="" textlink="">
      <xdr:nvSpPr>
        <xdr:cNvPr id="7287204" name="Oval 240">
          <a:extLst>
            <a:ext uri="{FF2B5EF4-FFF2-40B4-BE49-F238E27FC236}">
              <a16:creationId xmlns:a16="http://schemas.microsoft.com/office/drawing/2014/main" id="{3DA816C6-9CA2-4602-9F44-FF35E85A15FD}"/>
            </a:ext>
          </a:extLst>
        </xdr:cNvPr>
        <xdr:cNvSpPr>
          <a:spLocks noChangeArrowheads="1"/>
        </xdr:cNvSpPr>
      </xdr:nvSpPr>
      <xdr:spPr bwMode="auto">
        <a:xfrm>
          <a:off x="13271500" y="36360100"/>
          <a:ext cx="3048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33</xdr:col>
      <xdr:colOff>80963</xdr:colOff>
      <xdr:row>137</xdr:row>
      <xdr:rowOff>204788</xdr:rowOff>
    </xdr:from>
    <xdr:to>
      <xdr:col>35</xdr:col>
      <xdr:colOff>261938</xdr:colOff>
      <xdr:row>140</xdr:row>
      <xdr:rowOff>152400</xdr:rowOff>
    </xdr:to>
    <xdr:cxnSp macro="">
      <xdr:nvCxnSpPr>
        <xdr:cNvPr id="8453337" name="AutoShape 241">
          <a:extLst>
            <a:ext uri="{FF2B5EF4-FFF2-40B4-BE49-F238E27FC236}">
              <a16:creationId xmlns:a16="http://schemas.microsoft.com/office/drawing/2014/main" id="{5CFB65AA-22DC-4E31-BE47-D53C80B64763}"/>
            </a:ext>
          </a:extLst>
        </xdr:cNvPr>
        <xdr:cNvCxnSpPr>
          <a:cxnSpLocks noChangeShapeType="1"/>
          <a:stCxn id="7287204" idx="6"/>
          <a:endCxn id="7287185" idx="0"/>
        </xdr:cNvCxnSpPr>
      </xdr:nvCxnSpPr>
      <xdr:spPr bwMode="auto">
        <a:xfrm>
          <a:off x="12820650" y="36247388"/>
          <a:ext cx="661988" cy="476250"/>
        </a:xfrm>
        <a:prstGeom prst="bentConnector2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138113</xdr:colOff>
      <xdr:row>141</xdr:row>
      <xdr:rowOff>95250</xdr:rowOff>
    </xdr:from>
    <xdr:to>
      <xdr:col>34</xdr:col>
      <xdr:colOff>138113</xdr:colOff>
      <xdr:row>146</xdr:row>
      <xdr:rowOff>0</xdr:rowOff>
    </xdr:to>
    <xdr:cxnSp macro="">
      <xdr:nvCxnSpPr>
        <xdr:cNvPr id="8453338" name="AutoShape 242">
          <a:extLst>
            <a:ext uri="{FF2B5EF4-FFF2-40B4-BE49-F238E27FC236}">
              <a16:creationId xmlns:a16="http://schemas.microsoft.com/office/drawing/2014/main" id="{BDFCCD58-94A6-4D68-8D00-C7A93C954B34}"/>
            </a:ext>
          </a:extLst>
        </xdr:cNvPr>
        <xdr:cNvCxnSpPr>
          <a:cxnSpLocks noChangeShapeType="1"/>
          <a:stCxn id="7287203" idx="6"/>
          <a:endCxn id="5329" idx="2"/>
        </xdr:cNvCxnSpPr>
      </xdr:nvCxnSpPr>
      <xdr:spPr bwMode="auto">
        <a:xfrm flipV="1">
          <a:off x="12877800" y="36828413"/>
          <a:ext cx="247650" cy="714375"/>
        </a:xfrm>
        <a:prstGeom prst="bentConnector2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36</xdr:col>
      <xdr:colOff>152400</xdr:colOff>
      <xdr:row>141</xdr:row>
      <xdr:rowOff>95250</xdr:rowOff>
    </xdr:from>
    <xdr:to>
      <xdr:col>38</xdr:col>
      <xdr:colOff>109538</xdr:colOff>
      <xdr:row>141</xdr:row>
      <xdr:rowOff>95250</xdr:rowOff>
    </xdr:to>
    <xdr:cxnSp macro="">
      <xdr:nvCxnSpPr>
        <xdr:cNvPr id="8453339" name="AutoShape 243">
          <a:extLst>
            <a:ext uri="{FF2B5EF4-FFF2-40B4-BE49-F238E27FC236}">
              <a16:creationId xmlns:a16="http://schemas.microsoft.com/office/drawing/2014/main" id="{5D5715E3-707D-4C81-B95D-412BB20A1315}"/>
            </a:ext>
          </a:extLst>
        </xdr:cNvPr>
        <xdr:cNvCxnSpPr>
          <a:cxnSpLocks noChangeShapeType="1"/>
          <a:stCxn id="7287185" idx="6"/>
          <a:endCxn id="7287189" idx="2"/>
        </xdr:cNvCxnSpPr>
      </xdr:nvCxnSpPr>
      <xdr:spPr bwMode="auto">
        <a:xfrm>
          <a:off x="13635038" y="36828413"/>
          <a:ext cx="452437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36</xdr:col>
      <xdr:colOff>160655</xdr:colOff>
      <xdr:row>140</xdr:row>
      <xdr:rowOff>88228</xdr:rowOff>
    </xdr:from>
    <xdr:ext cx="303673" cy="170560"/>
    <xdr:sp macro="" textlink="">
      <xdr:nvSpPr>
        <xdr:cNvPr id="5364" name="Text Box 244">
          <a:extLst>
            <a:ext uri="{FF2B5EF4-FFF2-40B4-BE49-F238E27FC236}">
              <a16:creationId xmlns:a16="http://schemas.microsoft.com/office/drawing/2014/main" id="{9E3CFD4F-029D-43B2-8F87-0A7F7B5EEEAF}"/>
            </a:ext>
          </a:extLst>
        </xdr:cNvPr>
        <xdr:cNvSpPr txBox="1">
          <a:spLocks noChangeArrowheads="1"/>
        </xdr:cNvSpPr>
      </xdr:nvSpPr>
      <xdr:spPr bwMode="auto">
        <a:xfrm>
          <a:off x="13635729" y="3663621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1.3.5</a:t>
          </a:r>
        </a:p>
      </xdr:txBody>
    </xdr:sp>
    <xdr:clientData/>
  </xdr:oneCellAnchor>
  <xdr:twoCellAnchor>
    <xdr:from>
      <xdr:col>39</xdr:col>
      <xdr:colOff>93663</xdr:colOff>
      <xdr:row>145</xdr:row>
      <xdr:rowOff>58102</xdr:rowOff>
    </xdr:from>
    <xdr:to>
      <xdr:col>40</xdr:col>
      <xdr:colOff>145198</xdr:colOff>
      <xdr:row>146</xdr:row>
      <xdr:rowOff>152236</xdr:rowOff>
    </xdr:to>
    <xdr:sp macro="" textlink="">
      <xdr:nvSpPr>
        <xdr:cNvPr id="7287209" name="Oval 245">
          <a:extLst>
            <a:ext uri="{FF2B5EF4-FFF2-40B4-BE49-F238E27FC236}">
              <a16:creationId xmlns:a16="http://schemas.microsoft.com/office/drawing/2014/main" id="{7BF22E0F-E090-4807-A9FE-9BC48DF15535}"/>
            </a:ext>
          </a:extLst>
        </xdr:cNvPr>
        <xdr:cNvSpPr>
          <a:spLocks noChangeArrowheads="1"/>
        </xdr:cNvSpPr>
      </xdr:nvSpPr>
      <xdr:spPr bwMode="auto">
        <a:xfrm>
          <a:off x="15176500" y="377190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36</xdr:col>
      <xdr:colOff>100648</xdr:colOff>
      <xdr:row>145</xdr:row>
      <xdr:rowOff>58102</xdr:rowOff>
    </xdr:from>
    <xdr:to>
      <xdr:col>37</xdr:col>
      <xdr:colOff>162854</xdr:colOff>
      <xdr:row>146</xdr:row>
      <xdr:rowOff>152236</xdr:rowOff>
    </xdr:to>
    <xdr:sp macro="" textlink="">
      <xdr:nvSpPr>
        <xdr:cNvPr id="7287210" name="Oval 246">
          <a:extLst>
            <a:ext uri="{FF2B5EF4-FFF2-40B4-BE49-F238E27FC236}">
              <a16:creationId xmlns:a16="http://schemas.microsoft.com/office/drawing/2014/main" id="{C0B8879E-CAEF-4F9C-8DA7-B284ED573DFA}"/>
            </a:ext>
          </a:extLst>
        </xdr:cNvPr>
        <xdr:cNvSpPr>
          <a:spLocks noChangeArrowheads="1"/>
        </xdr:cNvSpPr>
      </xdr:nvSpPr>
      <xdr:spPr bwMode="auto">
        <a:xfrm>
          <a:off x="14389100" y="377190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37</xdr:col>
      <xdr:colOff>152400</xdr:colOff>
      <xdr:row>146</xdr:row>
      <xdr:rowOff>23813</xdr:rowOff>
    </xdr:from>
    <xdr:to>
      <xdr:col>39</xdr:col>
      <xdr:colOff>80963</xdr:colOff>
      <xdr:row>146</xdr:row>
      <xdr:rowOff>23813</xdr:rowOff>
    </xdr:to>
    <xdr:cxnSp macro="">
      <xdr:nvCxnSpPr>
        <xdr:cNvPr id="8453343" name="AutoShape 247">
          <a:extLst>
            <a:ext uri="{FF2B5EF4-FFF2-40B4-BE49-F238E27FC236}">
              <a16:creationId xmlns:a16="http://schemas.microsoft.com/office/drawing/2014/main" id="{92F4E826-EFC7-4C2F-8602-6A0BFECF90C7}"/>
            </a:ext>
          </a:extLst>
        </xdr:cNvPr>
        <xdr:cNvCxnSpPr>
          <a:cxnSpLocks noChangeShapeType="1"/>
          <a:stCxn id="7287210" idx="6"/>
          <a:endCxn id="7287209" idx="2"/>
        </xdr:cNvCxnSpPr>
      </xdr:nvCxnSpPr>
      <xdr:spPr bwMode="auto">
        <a:xfrm>
          <a:off x="13882688" y="37566600"/>
          <a:ext cx="42386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138113</xdr:colOff>
      <xdr:row>146</xdr:row>
      <xdr:rowOff>0</xdr:rowOff>
    </xdr:from>
    <xdr:to>
      <xdr:col>36</xdr:col>
      <xdr:colOff>95250</xdr:colOff>
      <xdr:row>146</xdr:row>
      <xdr:rowOff>23813</xdr:rowOff>
    </xdr:to>
    <xdr:cxnSp macro="">
      <xdr:nvCxnSpPr>
        <xdr:cNvPr id="8453344" name="AutoShape 248">
          <a:extLst>
            <a:ext uri="{FF2B5EF4-FFF2-40B4-BE49-F238E27FC236}">
              <a16:creationId xmlns:a16="http://schemas.microsoft.com/office/drawing/2014/main" id="{C4A9492C-DE76-469B-91FE-A9E371C040D0}"/>
            </a:ext>
          </a:extLst>
        </xdr:cNvPr>
        <xdr:cNvCxnSpPr>
          <a:cxnSpLocks noChangeShapeType="1"/>
          <a:stCxn id="7287203" idx="6"/>
          <a:endCxn id="7287210" idx="2"/>
        </xdr:cNvCxnSpPr>
      </xdr:nvCxnSpPr>
      <xdr:spPr bwMode="auto">
        <a:xfrm>
          <a:off x="12877800" y="37542788"/>
          <a:ext cx="700088" cy="23812"/>
        </a:xfrm>
        <a:prstGeom prst="straightConnector1">
          <a:avLst/>
        </a:prstGeom>
        <a:noFill/>
        <a:ln w="9525">
          <a:solidFill>
            <a:srgbClr val="FF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37</xdr:col>
      <xdr:colOff>125413</xdr:colOff>
      <xdr:row>145</xdr:row>
      <xdr:rowOff>50127</xdr:rowOff>
    </xdr:from>
    <xdr:ext cx="303673" cy="170560"/>
    <xdr:sp macro="" textlink="">
      <xdr:nvSpPr>
        <xdr:cNvPr id="5369" name="Text Box 249">
          <a:extLst>
            <a:ext uri="{FF2B5EF4-FFF2-40B4-BE49-F238E27FC236}">
              <a16:creationId xmlns:a16="http://schemas.microsoft.com/office/drawing/2014/main" id="{4F258096-8AEB-432E-AC04-F03BC1365780}"/>
            </a:ext>
          </a:extLst>
        </xdr:cNvPr>
        <xdr:cNvSpPr txBox="1">
          <a:spLocks noChangeArrowheads="1"/>
        </xdr:cNvSpPr>
      </xdr:nvSpPr>
      <xdr:spPr bwMode="auto">
        <a:xfrm>
          <a:off x="13847017" y="3741053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1.4.1</a:t>
          </a:r>
        </a:p>
      </xdr:txBody>
    </xdr:sp>
    <xdr:clientData/>
  </xdr:oneCellAnchor>
  <xdr:twoCellAnchor>
    <xdr:from>
      <xdr:col>39</xdr:col>
      <xdr:colOff>164465</xdr:colOff>
      <xdr:row>137</xdr:row>
      <xdr:rowOff>0</xdr:rowOff>
    </xdr:from>
    <xdr:to>
      <xdr:col>40</xdr:col>
      <xdr:colOff>202481</xdr:colOff>
      <xdr:row>138</xdr:row>
      <xdr:rowOff>151727</xdr:rowOff>
    </xdr:to>
    <xdr:sp macro="" textlink="">
      <xdr:nvSpPr>
        <xdr:cNvPr id="7287214" name="Oval 250">
          <a:extLst>
            <a:ext uri="{FF2B5EF4-FFF2-40B4-BE49-F238E27FC236}">
              <a16:creationId xmlns:a16="http://schemas.microsoft.com/office/drawing/2014/main" id="{E4BA612C-B0EA-4C19-8624-AD35DEABB826}"/>
            </a:ext>
          </a:extLst>
        </xdr:cNvPr>
        <xdr:cNvSpPr>
          <a:spLocks noChangeArrowheads="1"/>
        </xdr:cNvSpPr>
      </xdr:nvSpPr>
      <xdr:spPr bwMode="auto">
        <a:xfrm>
          <a:off x="15227300" y="36360100"/>
          <a:ext cx="3048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36</xdr:col>
      <xdr:colOff>166688</xdr:colOff>
      <xdr:row>137</xdr:row>
      <xdr:rowOff>0</xdr:rowOff>
    </xdr:from>
    <xdr:to>
      <xdr:col>37</xdr:col>
      <xdr:colOff>210371</xdr:colOff>
      <xdr:row>138</xdr:row>
      <xdr:rowOff>151727</xdr:rowOff>
    </xdr:to>
    <xdr:sp macro="" textlink="">
      <xdr:nvSpPr>
        <xdr:cNvPr id="7287215" name="Oval 251">
          <a:extLst>
            <a:ext uri="{FF2B5EF4-FFF2-40B4-BE49-F238E27FC236}">
              <a16:creationId xmlns:a16="http://schemas.microsoft.com/office/drawing/2014/main" id="{10D9192A-6BF4-409C-87C2-FD1A08386821}"/>
            </a:ext>
          </a:extLst>
        </xdr:cNvPr>
        <xdr:cNvSpPr>
          <a:spLocks noChangeArrowheads="1"/>
        </xdr:cNvSpPr>
      </xdr:nvSpPr>
      <xdr:spPr bwMode="auto">
        <a:xfrm>
          <a:off x="14439900" y="36360100"/>
          <a:ext cx="2921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37</xdr:col>
      <xdr:colOff>209550</xdr:colOff>
      <xdr:row>137</xdr:row>
      <xdr:rowOff>204788</xdr:rowOff>
    </xdr:from>
    <xdr:to>
      <xdr:col>39</xdr:col>
      <xdr:colOff>152400</xdr:colOff>
      <xdr:row>137</xdr:row>
      <xdr:rowOff>204788</xdr:rowOff>
    </xdr:to>
    <xdr:cxnSp macro="">
      <xdr:nvCxnSpPr>
        <xdr:cNvPr id="8453348" name="AutoShape 252">
          <a:extLst>
            <a:ext uri="{FF2B5EF4-FFF2-40B4-BE49-F238E27FC236}">
              <a16:creationId xmlns:a16="http://schemas.microsoft.com/office/drawing/2014/main" id="{24DA4E69-E671-453E-8E75-E43E4B8D9369}"/>
            </a:ext>
          </a:extLst>
        </xdr:cNvPr>
        <xdr:cNvCxnSpPr>
          <a:cxnSpLocks noChangeShapeType="1"/>
          <a:stCxn id="7287215" idx="6"/>
          <a:endCxn id="7287214" idx="2"/>
        </xdr:cNvCxnSpPr>
      </xdr:nvCxnSpPr>
      <xdr:spPr bwMode="auto">
        <a:xfrm>
          <a:off x="13939838" y="36247388"/>
          <a:ext cx="43815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38</xdr:col>
      <xdr:colOff>598</xdr:colOff>
      <xdr:row>137</xdr:row>
      <xdr:rowOff>14848</xdr:rowOff>
    </xdr:from>
    <xdr:ext cx="303673" cy="170560"/>
    <xdr:sp macro="" textlink="">
      <xdr:nvSpPr>
        <xdr:cNvPr id="5373" name="Text Box 253">
          <a:extLst>
            <a:ext uri="{FF2B5EF4-FFF2-40B4-BE49-F238E27FC236}">
              <a16:creationId xmlns:a16="http://schemas.microsoft.com/office/drawing/2014/main" id="{A22B5E0C-241C-4E04-B030-24ED5ADA5BD7}"/>
            </a:ext>
          </a:extLst>
        </xdr:cNvPr>
        <xdr:cNvSpPr txBox="1">
          <a:spLocks noChangeArrowheads="1"/>
        </xdr:cNvSpPr>
      </xdr:nvSpPr>
      <xdr:spPr bwMode="auto">
        <a:xfrm>
          <a:off x="13968731" y="3607537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1.4.2</a:t>
          </a:r>
        </a:p>
      </xdr:txBody>
    </xdr:sp>
    <xdr:clientData/>
  </xdr:oneCellAnchor>
  <xdr:twoCellAnchor>
    <xdr:from>
      <xdr:col>33</xdr:col>
      <xdr:colOff>80963</xdr:colOff>
      <xdr:row>137</xdr:row>
      <xdr:rowOff>204788</xdr:rowOff>
    </xdr:from>
    <xdr:to>
      <xdr:col>36</xdr:col>
      <xdr:colOff>166688</xdr:colOff>
      <xdr:row>137</xdr:row>
      <xdr:rowOff>204788</xdr:rowOff>
    </xdr:to>
    <xdr:cxnSp macro="">
      <xdr:nvCxnSpPr>
        <xdr:cNvPr id="8453350" name="AutoShape 254">
          <a:extLst>
            <a:ext uri="{FF2B5EF4-FFF2-40B4-BE49-F238E27FC236}">
              <a16:creationId xmlns:a16="http://schemas.microsoft.com/office/drawing/2014/main" id="{54248DF8-B785-4604-9D20-E4288A694FCA}"/>
            </a:ext>
          </a:extLst>
        </xdr:cNvPr>
        <xdr:cNvCxnSpPr>
          <a:cxnSpLocks noChangeShapeType="1"/>
          <a:stCxn id="7287204" idx="6"/>
          <a:endCxn id="7287215" idx="2"/>
        </xdr:cNvCxnSpPr>
      </xdr:nvCxnSpPr>
      <xdr:spPr bwMode="auto">
        <a:xfrm>
          <a:off x="12820650" y="36247388"/>
          <a:ext cx="828675" cy="0"/>
        </a:xfrm>
        <a:prstGeom prst="straightConnector1">
          <a:avLst/>
        </a:prstGeom>
        <a:noFill/>
        <a:ln w="9525">
          <a:solidFill>
            <a:srgbClr val="FF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40</xdr:col>
      <xdr:colOff>209550</xdr:colOff>
      <xdr:row>137</xdr:row>
      <xdr:rowOff>204788</xdr:rowOff>
    </xdr:from>
    <xdr:to>
      <xdr:col>41</xdr:col>
      <xdr:colOff>257175</xdr:colOff>
      <xdr:row>154</xdr:row>
      <xdr:rowOff>133350</xdr:rowOff>
    </xdr:to>
    <xdr:cxnSp macro="">
      <xdr:nvCxnSpPr>
        <xdr:cNvPr id="8453351" name="AutoShape 255">
          <a:extLst>
            <a:ext uri="{FF2B5EF4-FFF2-40B4-BE49-F238E27FC236}">
              <a16:creationId xmlns:a16="http://schemas.microsoft.com/office/drawing/2014/main" id="{1A615A92-3FFB-42B8-B881-4AAD5117152E}"/>
            </a:ext>
          </a:extLst>
        </xdr:cNvPr>
        <xdr:cNvCxnSpPr>
          <a:cxnSpLocks noChangeShapeType="1"/>
          <a:stCxn id="7287214" idx="6"/>
          <a:endCxn id="7287136" idx="0"/>
        </xdr:cNvCxnSpPr>
      </xdr:nvCxnSpPr>
      <xdr:spPr bwMode="auto">
        <a:xfrm>
          <a:off x="14682788" y="36247388"/>
          <a:ext cx="285750" cy="2724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40</xdr:col>
      <xdr:colOff>138113</xdr:colOff>
      <xdr:row>146</xdr:row>
      <xdr:rowOff>23813</xdr:rowOff>
    </xdr:from>
    <xdr:to>
      <xdr:col>41</xdr:col>
      <xdr:colOff>257175</xdr:colOff>
      <xdr:row>154</xdr:row>
      <xdr:rowOff>133350</xdr:rowOff>
    </xdr:to>
    <xdr:cxnSp macro="">
      <xdr:nvCxnSpPr>
        <xdr:cNvPr id="8453352" name="AutoShape 256">
          <a:extLst>
            <a:ext uri="{FF2B5EF4-FFF2-40B4-BE49-F238E27FC236}">
              <a16:creationId xmlns:a16="http://schemas.microsoft.com/office/drawing/2014/main" id="{D5BC3F7F-F8FA-465F-8711-1043412EA426}"/>
            </a:ext>
          </a:extLst>
        </xdr:cNvPr>
        <xdr:cNvCxnSpPr>
          <a:cxnSpLocks noChangeShapeType="1"/>
          <a:stCxn id="7287209" idx="6"/>
          <a:endCxn id="7287136" idx="0"/>
        </xdr:cNvCxnSpPr>
      </xdr:nvCxnSpPr>
      <xdr:spPr bwMode="auto">
        <a:xfrm>
          <a:off x="14611350" y="37566600"/>
          <a:ext cx="357188" cy="140493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27</xdr:col>
      <xdr:colOff>134302</xdr:colOff>
      <xdr:row>131</xdr:row>
      <xdr:rowOff>93979</xdr:rowOff>
    </xdr:from>
    <xdr:to>
      <xdr:col>28</xdr:col>
      <xdr:colOff>126063</xdr:colOff>
      <xdr:row>132</xdr:row>
      <xdr:rowOff>147296</xdr:rowOff>
    </xdr:to>
    <xdr:sp macro="" textlink="">
      <xdr:nvSpPr>
        <xdr:cNvPr id="7287221" name="Oval 257">
          <a:extLst>
            <a:ext uri="{FF2B5EF4-FFF2-40B4-BE49-F238E27FC236}">
              <a16:creationId xmlns:a16="http://schemas.microsoft.com/office/drawing/2014/main" id="{90ACBE16-D56C-43E1-B873-B1A6E2E2AC5C}"/>
            </a:ext>
          </a:extLst>
        </xdr:cNvPr>
        <xdr:cNvSpPr>
          <a:spLocks noChangeArrowheads="1"/>
        </xdr:cNvSpPr>
      </xdr:nvSpPr>
      <xdr:spPr bwMode="auto">
        <a:xfrm>
          <a:off x="12153900" y="354330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131</xdr:row>
      <xdr:rowOff>93979</xdr:rowOff>
    </xdr:from>
    <xdr:to>
      <xdr:col>25</xdr:col>
      <xdr:colOff>10963</xdr:colOff>
      <xdr:row>132</xdr:row>
      <xdr:rowOff>147296</xdr:rowOff>
    </xdr:to>
    <xdr:sp macro="" textlink="">
      <xdr:nvSpPr>
        <xdr:cNvPr id="7287222" name="Oval 258">
          <a:extLst>
            <a:ext uri="{FF2B5EF4-FFF2-40B4-BE49-F238E27FC236}">
              <a16:creationId xmlns:a16="http://schemas.microsoft.com/office/drawing/2014/main" id="{6341E7C0-3121-42E8-AA28-6401D62D3B7A}"/>
            </a:ext>
          </a:extLst>
        </xdr:cNvPr>
        <xdr:cNvSpPr>
          <a:spLocks noChangeArrowheads="1"/>
        </xdr:cNvSpPr>
      </xdr:nvSpPr>
      <xdr:spPr bwMode="auto">
        <a:xfrm>
          <a:off x="11353800" y="354330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25</xdr:col>
      <xdr:colOff>0</xdr:colOff>
      <xdr:row>132</xdr:row>
      <xdr:rowOff>23813</xdr:rowOff>
    </xdr:from>
    <xdr:to>
      <xdr:col>27</xdr:col>
      <xdr:colOff>109538</xdr:colOff>
      <xdr:row>132</xdr:row>
      <xdr:rowOff>23813</xdr:rowOff>
    </xdr:to>
    <xdr:cxnSp macro="">
      <xdr:nvCxnSpPr>
        <xdr:cNvPr id="8453355" name="AutoShape 259">
          <a:extLst>
            <a:ext uri="{FF2B5EF4-FFF2-40B4-BE49-F238E27FC236}">
              <a16:creationId xmlns:a16="http://schemas.microsoft.com/office/drawing/2014/main" id="{A5508434-8F29-437D-A124-8D736BD849D7}"/>
            </a:ext>
          </a:extLst>
        </xdr:cNvPr>
        <xdr:cNvCxnSpPr>
          <a:cxnSpLocks noChangeShapeType="1"/>
          <a:stCxn id="7287222" idx="6"/>
          <a:endCxn id="7287221" idx="2"/>
        </xdr:cNvCxnSpPr>
      </xdr:nvCxnSpPr>
      <xdr:spPr bwMode="auto">
        <a:xfrm>
          <a:off x="10958513" y="35299650"/>
          <a:ext cx="53816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69851</xdr:colOff>
      <xdr:row>131</xdr:row>
      <xdr:rowOff>560</xdr:rowOff>
    </xdr:from>
    <xdr:ext cx="303673" cy="170560"/>
    <xdr:sp macro="" textlink="">
      <xdr:nvSpPr>
        <xdr:cNvPr id="5380" name="Text Box 260">
          <a:extLst>
            <a:ext uri="{FF2B5EF4-FFF2-40B4-BE49-F238E27FC236}">
              <a16:creationId xmlns:a16="http://schemas.microsoft.com/office/drawing/2014/main" id="{33512B95-0AD4-4481-8723-D1942149CECC}"/>
            </a:ext>
          </a:extLst>
        </xdr:cNvPr>
        <xdr:cNvSpPr txBox="1">
          <a:spLocks noChangeArrowheads="1"/>
        </xdr:cNvSpPr>
      </xdr:nvSpPr>
      <xdr:spPr bwMode="auto">
        <a:xfrm>
          <a:off x="11034807" y="3508617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2.4.1</a:t>
          </a:r>
        </a:p>
      </xdr:txBody>
    </xdr:sp>
    <xdr:clientData/>
  </xdr:oneCellAnchor>
  <xdr:twoCellAnchor>
    <xdr:from>
      <xdr:col>31</xdr:col>
      <xdr:colOff>76518</xdr:colOff>
      <xdr:row>131</xdr:row>
      <xdr:rowOff>93979</xdr:rowOff>
    </xdr:from>
    <xdr:to>
      <xdr:col>32</xdr:col>
      <xdr:colOff>146197</xdr:colOff>
      <xdr:row>132</xdr:row>
      <xdr:rowOff>147296</xdr:rowOff>
    </xdr:to>
    <xdr:sp macro="" textlink="">
      <xdr:nvSpPr>
        <xdr:cNvPr id="7287225" name="Oval 261">
          <a:extLst>
            <a:ext uri="{FF2B5EF4-FFF2-40B4-BE49-F238E27FC236}">
              <a16:creationId xmlns:a16="http://schemas.microsoft.com/office/drawing/2014/main" id="{49ED1930-B5AF-4C3C-8689-7DB67DA79F5E}"/>
            </a:ext>
          </a:extLst>
        </xdr:cNvPr>
        <xdr:cNvSpPr>
          <a:spLocks noChangeArrowheads="1"/>
        </xdr:cNvSpPr>
      </xdr:nvSpPr>
      <xdr:spPr bwMode="auto">
        <a:xfrm>
          <a:off x="13042900" y="354330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128588</xdr:colOff>
      <xdr:row>132</xdr:row>
      <xdr:rowOff>23813</xdr:rowOff>
    </xdr:from>
    <xdr:to>
      <xdr:col>31</xdr:col>
      <xdr:colOff>80963</xdr:colOff>
      <xdr:row>132</xdr:row>
      <xdr:rowOff>23813</xdr:rowOff>
    </xdr:to>
    <xdr:cxnSp macro="">
      <xdr:nvCxnSpPr>
        <xdr:cNvPr id="8453358" name="AutoShape 262">
          <a:extLst>
            <a:ext uri="{FF2B5EF4-FFF2-40B4-BE49-F238E27FC236}">
              <a16:creationId xmlns:a16="http://schemas.microsoft.com/office/drawing/2014/main" id="{5D1AA358-F1CE-4463-8BCD-692115441F11}"/>
            </a:ext>
          </a:extLst>
        </xdr:cNvPr>
        <xdr:cNvCxnSpPr>
          <a:cxnSpLocks noChangeShapeType="1"/>
          <a:stCxn id="7287221" idx="6"/>
          <a:endCxn id="7287225" idx="2"/>
        </xdr:cNvCxnSpPr>
      </xdr:nvCxnSpPr>
      <xdr:spPr bwMode="auto">
        <a:xfrm>
          <a:off x="11730038" y="35299650"/>
          <a:ext cx="59531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2166</xdr:colOff>
      <xdr:row>131</xdr:row>
      <xdr:rowOff>10085</xdr:rowOff>
    </xdr:from>
    <xdr:ext cx="303673" cy="170560"/>
    <xdr:sp macro="" textlink="">
      <xdr:nvSpPr>
        <xdr:cNvPr id="5383" name="Text Box 263">
          <a:extLst>
            <a:ext uri="{FF2B5EF4-FFF2-40B4-BE49-F238E27FC236}">
              <a16:creationId xmlns:a16="http://schemas.microsoft.com/office/drawing/2014/main" id="{A0217366-CE0E-4F30-8AA0-84CC75E18221}"/>
            </a:ext>
          </a:extLst>
        </xdr:cNvPr>
        <xdr:cNvSpPr txBox="1">
          <a:spLocks noChangeArrowheads="1"/>
        </xdr:cNvSpPr>
      </xdr:nvSpPr>
      <xdr:spPr bwMode="auto">
        <a:xfrm>
          <a:off x="11818770" y="35095703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2.4.2</a:t>
          </a:r>
        </a:p>
      </xdr:txBody>
    </xdr:sp>
    <xdr:clientData/>
  </xdr:oneCellAnchor>
  <xdr:twoCellAnchor>
    <xdr:from>
      <xdr:col>21</xdr:col>
      <xdr:colOff>157163</xdr:colOff>
      <xdr:row>132</xdr:row>
      <xdr:rowOff>23813</xdr:rowOff>
    </xdr:from>
    <xdr:to>
      <xdr:col>23</xdr:col>
      <xdr:colOff>271463</xdr:colOff>
      <xdr:row>134</xdr:row>
      <xdr:rowOff>95250</xdr:rowOff>
    </xdr:to>
    <xdr:cxnSp macro="">
      <xdr:nvCxnSpPr>
        <xdr:cNvPr id="8453360" name="AutoShape 264">
          <a:extLst>
            <a:ext uri="{FF2B5EF4-FFF2-40B4-BE49-F238E27FC236}">
              <a16:creationId xmlns:a16="http://schemas.microsoft.com/office/drawing/2014/main" id="{6D7AF5F9-2E0F-417A-A73A-62E841470DCB}"/>
            </a:ext>
          </a:extLst>
        </xdr:cNvPr>
        <xdr:cNvCxnSpPr>
          <a:cxnSpLocks noChangeShapeType="1"/>
          <a:stCxn id="7287094" idx="0"/>
          <a:endCxn id="7287222" idx="2"/>
        </xdr:cNvCxnSpPr>
      </xdr:nvCxnSpPr>
      <xdr:spPr bwMode="auto">
        <a:xfrm rot="-5400000">
          <a:off x="10303669" y="35254406"/>
          <a:ext cx="395288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138113</xdr:colOff>
      <xdr:row>132</xdr:row>
      <xdr:rowOff>23813</xdr:rowOff>
    </xdr:from>
    <xdr:to>
      <xdr:col>41</xdr:col>
      <xdr:colOff>257175</xdr:colOff>
      <xdr:row>154</xdr:row>
      <xdr:rowOff>133350</xdr:rowOff>
    </xdr:to>
    <xdr:cxnSp macro="">
      <xdr:nvCxnSpPr>
        <xdr:cNvPr id="8453361" name="AutoShape 265">
          <a:extLst>
            <a:ext uri="{FF2B5EF4-FFF2-40B4-BE49-F238E27FC236}">
              <a16:creationId xmlns:a16="http://schemas.microsoft.com/office/drawing/2014/main" id="{D84D8797-28B7-49E7-9E32-1D52AAD33DE8}"/>
            </a:ext>
          </a:extLst>
        </xdr:cNvPr>
        <xdr:cNvCxnSpPr>
          <a:cxnSpLocks noChangeShapeType="1"/>
          <a:stCxn id="7287225" idx="6"/>
          <a:endCxn id="7287136" idx="0"/>
        </xdr:cNvCxnSpPr>
      </xdr:nvCxnSpPr>
      <xdr:spPr bwMode="auto">
        <a:xfrm>
          <a:off x="12630150" y="35299650"/>
          <a:ext cx="2338388" cy="36718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728</xdr:colOff>
      <xdr:row>184</xdr:row>
      <xdr:rowOff>152399</xdr:rowOff>
    </xdr:from>
    <xdr:to>
      <xdr:col>13</xdr:col>
      <xdr:colOff>2882</xdr:colOff>
      <xdr:row>186</xdr:row>
      <xdr:rowOff>147611</xdr:rowOff>
    </xdr:to>
    <xdr:sp macro="" textlink="">
      <xdr:nvSpPr>
        <xdr:cNvPr id="7288028" name="Oval 1">
          <a:extLst>
            <a:ext uri="{FF2B5EF4-FFF2-40B4-BE49-F238E27FC236}">
              <a16:creationId xmlns:a16="http://schemas.microsoft.com/office/drawing/2014/main" id="{C77907D1-8443-4CE8-A0F6-4ABE8A665AEB}"/>
            </a:ext>
          </a:extLst>
        </xdr:cNvPr>
        <xdr:cNvSpPr>
          <a:spLocks noChangeArrowheads="1"/>
        </xdr:cNvSpPr>
      </xdr:nvSpPr>
      <xdr:spPr bwMode="auto">
        <a:xfrm>
          <a:off x="8585200" y="419735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5173</xdr:colOff>
      <xdr:row>184</xdr:row>
      <xdr:rowOff>152399</xdr:rowOff>
    </xdr:from>
    <xdr:to>
      <xdr:col>17</xdr:col>
      <xdr:colOff>460</xdr:colOff>
      <xdr:row>186</xdr:row>
      <xdr:rowOff>147611</xdr:rowOff>
    </xdr:to>
    <xdr:sp macro="" textlink="">
      <xdr:nvSpPr>
        <xdr:cNvPr id="7288029" name="Oval 2">
          <a:extLst>
            <a:ext uri="{FF2B5EF4-FFF2-40B4-BE49-F238E27FC236}">
              <a16:creationId xmlns:a16="http://schemas.microsoft.com/office/drawing/2014/main" id="{63EFAADD-B9F5-45C0-8253-E187611BE5EE}"/>
            </a:ext>
          </a:extLst>
        </xdr:cNvPr>
        <xdr:cNvSpPr>
          <a:spLocks noChangeArrowheads="1"/>
        </xdr:cNvSpPr>
      </xdr:nvSpPr>
      <xdr:spPr bwMode="auto">
        <a:xfrm>
          <a:off x="9423400" y="419735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12</xdr:col>
      <xdr:colOff>261938</xdr:colOff>
      <xdr:row>185</xdr:row>
      <xdr:rowOff>190500</xdr:rowOff>
    </xdr:from>
    <xdr:to>
      <xdr:col>15</xdr:col>
      <xdr:colOff>214313</xdr:colOff>
      <xdr:row>185</xdr:row>
      <xdr:rowOff>190500</xdr:rowOff>
    </xdr:to>
    <xdr:cxnSp macro="">
      <xdr:nvCxnSpPr>
        <xdr:cNvPr id="8454162" name="AutoShape 3">
          <a:extLst>
            <a:ext uri="{FF2B5EF4-FFF2-40B4-BE49-F238E27FC236}">
              <a16:creationId xmlns:a16="http://schemas.microsoft.com/office/drawing/2014/main" id="{15E7B67A-2465-468B-9549-3448377D546E}"/>
            </a:ext>
          </a:extLst>
        </xdr:cNvPr>
        <xdr:cNvCxnSpPr>
          <a:cxnSpLocks noChangeShapeType="1"/>
          <a:stCxn id="7288028" idx="6"/>
          <a:endCxn id="7288029" idx="2"/>
        </xdr:cNvCxnSpPr>
      </xdr:nvCxnSpPr>
      <xdr:spPr bwMode="auto">
        <a:xfrm>
          <a:off x="8386763" y="41714738"/>
          <a:ext cx="6000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152083</xdr:colOff>
      <xdr:row>184</xdr:row>
      <xdr:rowOff>58588</xdr:rowOff>
    </xdr:from>
    <xdr:ext cx="303673" cy="170560"/>
    <xdr:sp macro="" textlink="">
      <xdr:nvSpPr>
        <xdr:cNvPr id="10244" name="Text Box 4">
          <a:extLst>
            <a:ext uri="{FF2B5EF4-FFF2-40B4-BE49-F238E27FC236}">
              <a16:creationId xmlns:a16="http://schemas.microsoft.com/office/drawing/2014/main" id="{C9A223DD-9309-42BB-97C1-A77DDED1016A}"/>
            </a:ext>
          </a:extLst>
        </xdr:cNvPr>
        <xdr:cNvSpPr txBox="1">
          <a:spLocks noChangeArrowheads="1"/>
        </xdr:cNvSpPr>
      </xdr:nvSpPr>
      <xdr:spPr bwMode="auto">
        <a:xfrm>
          <a:off x="8545289" y="414531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3.1.1</a:t>
          </a:r>
        </a:p>
      </xdr:txBody>
    </xdr:sp>
    <xdr:clientData/>
  </xdr:oneCellAnchor>
  <xdr:twoCellAnchor>
    <xdr:from>
      <xdr:col>19</xdr:col>
      <xdr:colOff>190818</xdr:colOff>
      <xdr:row>184</xdr:row>
      <xdr:rowOff>152399</xdr:rowOff>
    </xdr:from>
    <xdr:to>
      <xdr:col>21</xdr:col>
      <xdr:colOff>2420</xdr:colOff>
      <xdr:row>186</xdr:row>
      <xdr:rowOff>147611</xdr:rowOff>
    </xdr:to>
    <xdr:sp macro="" textlink="">
      <xdr:nvSpPr>
        <xdr:cNvPr id="7288032" name="Oval 5">
          <a:extLst>
            <a:ext uri="{FF2B5EF4-FFF2-40B4-BE49-F238E27FC236}">
              <a16:creationId xmlns:a16="http://schemas.microsoft.com/office/drawing/2014/main" id="{469251E5-BF3B-42D1-9350-EBD0AAC3790F}"/>
            </a:ext>
          </a:extLst>
        </xdr:cNvPr>
        <xdr:cNvSpPr>
          <a:spLocks noChangeArrowheads="1"/>
        </xdr:cNvSpPr>
      </xdr:nvSpPr>
      <xdr:spPr bwMode="auto">
        <a:xfrm>
          <a:off x="10375900" y="419735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285750</xdr:colOff>
      <xdr:row>185</xdr:row>
      <xdr:rowOff>190500</xdr:rowOff>
    </xdr:from>
    <xdr:to>
      <xdr:col>19</xdr:col>
      <xdr:colOff>176213</xdr:colOff>
      <xdr:row>185</xdr:row>
      <xdr:rowOff>190500</xdr:rowOff>
    </xdr:to>
    <xdr:cxnSp macro="">
      <xdr:nvCxnSpPr>
        <xdr:cNvPr id="8454165" name="AutoShape 6">
          <a:extLst>
            <a:ext uri="{FF2B5EF4-FFF2-40B4-BE49-F238E27FC236}">
              <a16:creationId xmlns:a16="http://schemas.microsoft.com/office/drawing/2014/main" id="{FFB630FF-B359-4804-B369-91421CDFA2EF}"/>
            </a:ext>
          </a:extLst>
        </xdr:cNvPr>
        <xdr:cNvCxnSpPr>
          <a:cxnSpLocks noChangeShapeType="1"/>
          <a:stCxn id="7288029" idx="6"/>
          <a:endCxn id="7288032" idx="2"/>
        </xdr:cNvCxnSpPr>
      </xdr:nvCxnSpPr>
      <xdr:spPr bwMode="auto">
        <a:xfrm>
          <a:off x="9215438" y="41714738"/>
          <a:ext cx="63341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115887</xdr:colOff>
      <xdr:row>184</xdr:row>
      <xdr:rowOff>105261</xdr:rowOff>
    </xdr:from>
    <xdr:ext cx="303673" cy="170560"/>
    <xdr:sp macro="" textlink="">
      <xdr:nvSpPr>
        <xdr:cNvPr id="10247" name="Text Box 7">
          <a:extLst>
            <a:ext uri="{FF2B5EF4-FFF2-40B4-BE49-F238E27FC236}">
              <a16:creationId xmlns:a16="http://schemas.microsoft.com/office/drawing/2014/main" id="{B10B58BC-772C-409D-B280-DA1033BB873A}"/>
            </a:ext>
          </a:extLst>
        </xdr:cNvPr>
        <xdr:cNvSpPr txBox="1">
          <a:spLocks noChangeArrowheads="1"/>
        </xdr:cNvSpPr>
      </xdr:nvSpPr>
      <xdr:spPr bwMode="auto">
        <a:xfrm>
          <a:off x="9343932" y="4149979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3.1.2</a:t>
          </a:r>
        </a:p>
      </xdr:txBody>
    </xdr:sp>
    <xdr:clientData/>
  </xdr:oneCellAnchor>
  <xdr:twoCellAnchor>
    <xdr:from>
      <xdr:col>24</xdr:col>
      <xdr:colOff>2036</xdr:colOff>
      <xdr:row>182</xdr:row>
      <xdr:rowOff>36830</xdr:rowOff>
    </xdr:from>
    <xdr:to>
      <xdr:col>25</xdr:col>
      <xdr:colOff>763</xdr:colOff>
      <xdr:row>183</xdr:row>
      <xdr:rowOff>161658</xdr:rowOff>
    </xdr:to>
    <xdr:sp macro="" textlink="">
      <xdr:nvSpPr>
        <xdr:cNvPr id="7288035" name="Oval 8">
          <a:extLst>
            <a:ext uri="{FF2B5EF4-FFF2-40B4-BE49-F238E27FC236}">
              <a16:creationId xmlns:a16="http://schemas.microsoft.com/office/drawing/2014/main" id="{CB06818B-2007-4C27-8893-EB88155EA334}"/>
            </a:ext>
          </a:extLst>
        </xdr:cNvPr>
        <xdr:cNvSpPr>
          <a:spLocks noChangeArrowheads="1"/>
        </xdr:cNvSpPr>
      </xdr:nvSpPr>
      <xdr:spPr bwMode="auto">
        <a:xfrm>
          <a:off x="11303000" y="415163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2036</xdr:colOff>
      <xdr:row>184</xdr:row>
      <xdr:rowOff>152399</xdr:rowOff>
    </xdr:from>
    <xdr:to>
      <xdr:col>25</xdr:col>
      <xdr:colOff>763</xdr:colOff>
      <xdr:row>186</xdr:row>
      <xdr:rowOff>147611</xdr:rowOff>
    </xdr:to>
    <xdr:sp macro="" textlink="">
      <xdr:nvSpPr>
        <xdr:cNvPr id="7288036" name="Oval 9">
          <a:extLst>
            <a:ext uri="{FF2B5EF4-FFF2-40B4-BE49-F238E27FC236}">
              <a16:creationId xmlns:a16="http://schemas.microsoft.com/office/drawing/2014/main" id="{F14E0ECA-0DCA-4E00-AE07-2A93A815F6BE}"/>
            </a:ext>
          </a:extLst>
        </xdr:cNvPr>
        <xdr:cNvSpPr>
          <a:spLocks noChangeArrowheads="1"/>
        </xdr:cNvSpPr>
      </xdr:nvSpPr>
      <xdr:spPr bwMode="auto">
        <a:xfrm>
          <a:off x="11303000" y="419735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252413</xdr:colOff>
      <xdr:row>185</xdr:row>
      <xdr:rowOff>190500</xdr:rowOff>
    </xdr:from>
    <xdr:to>
      <xdr:col>23</xdr:col>
      <xdr:colOff>204788</xdr:colOff>
      <xdr:row>185</xdr:row>
      <xdr:rowOff>190500</xdr:rowOff>
    </xdr:to>
    <xdr:cxnSp macro="">
      <xdr:nvCxnSpPr>
        <xdr:cNvPr id="8454169" name="AutoShape 10">
          <a:extLst>
            <a:ext uri="{FF2B5EF4-FFF2-40B4-BE49-F238E27FC236}">
              <a16:creationId xmlns:a16="http://schemas.microsoft.com/office/drawing/2014/main" id="{39BE47AC-DD8B-4334-AEA7-E21689969252}"/>
            </a:ext>
          </a:extLst>
        </xdr:cNvPr>
        <xdr:cNvCxnSpPr>
          <a:cxnSpLocks noChangeShapeType="1"/>
          <a:stCxn id="7288032" idx="6"/>
          <a:endCxn id="7288036" idx="2"/>
        </xdr:cNvCxnSpPr>
      </xdr:nvCxnSpPr>
      <xdr:spPr bwMode="auto">
        <a:xfrm>
          <a:off x="10101263" y="41714738"/>
          <a:ext cx="63341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38100</xdr:colOff>
      <xdr:row>183</xdr:row>
      <xdr:rowOff>0</xdr:rowOff>
    </xdr:from>
    <xdr:to>
      <xdr:col>23</xdr:col>
      <xdr:colOff>204788</xdr:colOff>
      <xdr:row>184</xdr:row>
      <xdr:rowOff>228600</xdr:rowOff>
    </xdr:to>
    <xdr:cxnSp macro="">
      <xdr:nvCxnSpPr>
        <xdr:cNvPr id="8454170" name="AutoShape 11">
          <a:extLst>
            <a:ext uri="{FF2B5EF4-FFF2-40B4-BE49-F238E27FC236}">
              <a16:creationId xmlns:a16="http://schemas.microsoft.com/office/drawing/2014/main" id="{0714EC83-CAD1-4024-BBC7-A17EB592E632}"/>
            </a:ext>
          </a:extLst>
        </xdr:cNvPr>
        <xdr:cNvCxnSpPr>
          <a:cxnSpLocks noChangeShapeType="1"/>
          <a:stCxn id="7288032" idx="0"/>
          <a:endCxn id="7288035" idx="2"/>
        </xdr:cNvCxnSpPr>
      </xdr:nvCxnSpPr>
      <xdr:spPr bwMode="auto">
        <a:xfrm rot="-5400000">
          <a:off x="10167938" y="40986075"/>
          <a:ext cx="323850" cy="80962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192723</xdr:colOff>
      <xdr:row>187</xdr:row>
      <xdr:rowOff>147637</xdr:rowOff>
    </xdr:from>
    <xdr:to>
      <xdr:col>25</xdr:col>
      <xdr:colOff>9883</xdr:colOff>
      <xdr:row>189</xdr:row>
      <xdr:rowOff>144523</xdr:rowOff>
    </xdr:to>
    <xdr:sp macro="" textlink="">
      <xdr:nvSpPr>
        <xdr:cNvPr id="7288039" name="Oval 12">
          <a:extLst>
            <a:ext uri="{FF2B5EF4-FFF2-40B4-BE49-F238E27FC236}">
              <a16:creationId xmlns:a16="http://schemas.microsoft.com/office/drawing/2014/main" id="{734ACACA-FC37-4B84-97CE-5023A6B30875}"/>
            </a:ext>
          </a:extLst>
        </xdr:cNvPr>
        <xdr:cNvSpPr>
          <a:spLocks noChangeArrowheads="1"/>
        </xdr:cNvSpPr>
      </xdr:nvSpPr>
      <xdr:spPr bwMode="auto">
        <a:xfrm>
          <a:off x="11290300" y="42468800"/>
          <a:ext cx="2794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38100</xdr:colOff>
      <xdr:row>186</xdr:row>
      <xdr:rowOff>152400</xdr:rowOff>
    </xdr:from>
    <xdr:to>
      <xdr:col>23</xdr:col>
      <xdr:colOff>176213</xdr:colOff>
      <xdr:row>188</xdr:row>
      <xdr:rowOff>152400</xdr:rowOff>
    </xdr:to>
    <xdr:cxnSp macro="">
      <xdr:nvCxnSpPr>
        <xdr:cNvPr id="8454172" name="AutoShape 13">
          <a:extLst>
            <a:ext uri="{FF2B5EF4-FFF2-40B4-BE49-F238E27FC236}">
              <a16:creationId xmlns:a16="http://schemas.microsoft.com/office/drawing/2014/main" id="{14437892-BB4A-4D35-9E3C-519A62FCFAD9}"/>
            </a:ext>
          </a:extLst>
        </xdr:cNvPr>
        <xdr:cNvCxnSpPr>
          <a:cxnSpLocks noChangeShapeType="1"/>
          <a:stCxn id="7288032" idx="4"/>
          <a:endCxn id="7288039" idx="2"/>
        </xdr:cNvCxnSpPr>
      </xdr:nvCxnSpPr>
      <xdr:spPr bwMode="auto">
        <a:xfrm rot="16200000" flipH="1">
          <a:off x="10153650" y="41638538"/>
          <a:ext cx="323850" cy="781050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57151</xdr:colOff>
      <xdr:row>181</xdr:row>
      <xdr:rowOff>149711</xdr:rowOff>
    </xdr:from>
    <xdr:ext cx="303673" cy="170560"/>
    <xdr:sp macro="" textlink="">
      <xdr:nvSpPr>
        <xdr:cNvPr id="10254" name="Text Box 14">
          <a:extLst>
            <a:ext uri="{FF2B5EF4-FFF2-40B4-BE49-F238E27FC236}">
              <a16:creationId xmlns:a16="http://schemas.microsoft.com/office/drawing/2014/main" id="{508D6562-5321-40EE-B8C1-73CA8183C453}"/>
            </a:ext>
          </a:extLst>
        </xdr:cNvPr>
        <xdr:cNvSpPr txBox="1">
          <a:spLocks noChangeArrowheads="1"/>
        </xdr:cNvSpPr>
      </xdr:nvSpPr>
      <xdr:spPr bwMode="auto">
        <a:xfrm>
          <a:off x="10170460" y="4105678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3.2.1</a:t>
          </a:r>
        </a:p>
      </xdr:txBody>
    </xdr:sp>
    <xdr:clientData/>
  </xdr:oneCellAnchor>
  <xdr:oneCellAnchor>
    <xdr:from>
      <xdr:col>21</xdr:col>
      <xdr:colOff>57151</xdr:colOff>
      <xdr:row>185</xdr:row>
      <xdr:rowOff>729</xdr:rowOff>
    </xdr:from>
    <xdr:ext cx="303673" cy="170560"/>
    <xdr:sp macro="" textlink="">
      <xdr:nvSpPr>
        <xdr:cNvPr id="10255" name="Text Box 15">
          <a:extLst>
            <a:ext uri="{FF2B5EF4-FFF2-40B4-BE49-F238E27FC236}">
              <a16:creationId xmlns:a16="http://schemas.microsoft.com/office/drawing/2014/main" id="{E9EE9E07-F298-48E4-9EC0-6AF890518D99}"/>
            </a:ext>
          </a:extLst>
        </xdr:cNvPr>
        <xdr:cNvSpPr txBox="1">
          <a:spLocks noChangeArrowheads="1"/>
        </xdr:cNvSpPr>
      </xdr:nvSpPr>
      <xdr:spPr bwMode="auto">
        <a:xfrm>
          <a:off x="10170460" y="4155774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3.2.2</a:t>
          </a:r>
        </a:p>
      </xdr:txBody>
    </xdr:sp>
    <xdr:clientData/>
  </xdr:oneCellAnchor>
  <xdr:oneCellAnchor>
    <xdr:from>
      <xdr:col>21</xdr:col>
      <xdr:colOff>84773</xdr:colOff>
      <xdr:row>188</xdr:row>
      <xdr:rowOff>446</xdr:rowOff>
    </xdr:from>
    <xdr:ext cx="303673" cy="170560"/>
    <xdr:sp macro="" textlink="">
      <xdr:nvSpPr>
        <xdr:cNvPr id="10256" name="Text Box 16">
          <a:extLst>
            <a:ext uri="{FF2B5EF4-FFF2-40B4-BE49-F238E27FC236}">
              <a16:creationId xmlns:a16="http://schemas.microsoft.com/office/drawing/2014/main" id="{CD2B9F62-2F18-4EA9-B8DE-02C53CE57215}"/>
            </a:ext>
          </a:extLst>
        </xdr:cNvPr>
        <xdr:cNvSpPr txBox="1">
          <a:spLocks noChangeArrowheads="1"/>
        </xdr:cNvSpPr>
      </xdr:nvSpPr>
      <xdr:spPr bwMode="auto">
        <a:xfrm>
          <a:off x="10198082" y="4204491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3.2.3</a:t>
          </a:r>
        </a:p>
      </xdr:txBody>
    </xdr:sp>
    <xdr:clientData/>
  </xdr:oneCellAnchor>
  <xdr:twoCellAnchor>
    <xdr:from>
      <xdr:col>19</xdr:col>
      <xdr:colOff>205423</xdr:colOff>
      <xdr:row>191</xdr:row>
      <xdr:rowOff>55245</xdr:rowOff>
    </xdr:from>
    <xdr:to>
      <xdr:col>21</xdr:col>
      <xdr:colOff>475</xdr:colOff>
      <xdr:row>192</xdr:row>
      <xdr:rowOff>160290</xdr:rowOff>
    </xdr:to>
    <xdr:sp macro="" textlink="">
      <xdr:nvSpPr>
        <xdr:cNvPr id="7288044" name="Oval 17">
          <a:extLst>
            <a:ext uri="{FF2B5EF4-FFF2-40B4-BE49-F238E27FC236}">
              <a16:creationId xmlns:a16="http://schemas.microsoft.com/office/drawing/2014/main" id="{CE7B66BB-D178-4315-92E8-94715DBBE6C7}"/>
            </a:ext>
          </a:extLst>
        </xdr:cNvPr>
        <xdr:cNvSpPr>
          <a:spLocks noChangeArrowheads="1"/>
        </xdr:cNvSpPr>
      </xdr:nvSpPr>
      <xdr:spPr bwMode="auto">
        <a:xfrm>
          <a:off x="10388600" y="430149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61913</xdr:colOff>
      <xdr:row>186</xdr:row>
      <xdr:rowOff>152400</xdr:rowOff>
    </xdr:from>
    <xdr:to>
      <xdr:col>19</xdr:col>
      <xdr:colOff>204788</xdr:colOff>
      <xdr:row>192</xdr:row>
      <xdr:rowOff>23813</xdr:rowOff>
    </xdr:to>
    <xdr:cxnSp macro="">
      <xdr:nvCxnSpPr>
        <xdr:cNvPr id="8454177" name="AutoShape 18">
          <a:extLst>
            <a:ext uri="{FF2B5EF4-FFF2-40B4-BE49-F238E27FC236}">
              <a16:creationId xmlns:a16="http://schemas.microsoft.com/office/drawing/2014/main" id="{659564D3-CF99-4179-A1EB-298DAA946C22}"/>
            </a:ext>
          </a:extLst>
        </xdr:cNvPr>
        <xdr:cNvCxnSpPr>
          <a:cxnSpLocks noChangeShapeType="1"/>
          <a:stCxn id="7288029" idx="4"/>
          <a:endCxn id="7288044" idx="2"/>
        </xdr:cNvCxnSpPr>
      </xdr:nvCxnSpPr>
      <xdr:spPr bwMode="auto">
        <a:xfrm rot="16200000" flipH="1">
          <a:off x="9041607" y="41874281"/>
          <a:ext cx="842962" cy="82867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115887</xdr:colOff>
      <xdr:row>191</xdr:row>
      <xdr:rowOff>1083</xdr:rowOff>
    </xdr:from>
    <xdr:ext cx="303673" cy="170560"/>
    <xdr:sp macro="" textlink="">
      <xdr:nvSpPr>
        <xdr:cNvPr id="10259" name="Text Box 19">
          <a:extLst>
            <a:ext uri="{FF2B5EF4-FFF2-40B4-BE49-F238E27FC236}">
              <a16:creationId xmlns:a16="http://schemas.microsoft.com/office/drawing/2014/main" id="{57E6D39B-1CF6-4823-B9C0-FA26A179FDD3}"/>
            </a:ext>
          </a:extLst>
        </xdr:cNvPr>
        <xdr:cNvSpPr txBox="1">
          <a:spLocks noChangeArrowheads="1"/>
        </xdr:cNvSpPr>
      </xdr:nvSpPr>
      <xdr:spPr bwMode="auto">
        <a:xfrm>
          <a:off x="9343932" y="4253301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3.3.1</a:t>
          </a:r>
        </a:p>
      </xdr:txBody>
    </xdr:sp>
    <xdr:clientData/>
  </xdr:oneCellAnchor>
  <xdr:twoCellAnchor>
    <xdr:from>
      <xdr:col>23</xdr:col>
      <xdr:colOff>192723</xdr:colOff>
      <xdr:row>191</xdr:row>
      <xdr:rowOff>55245</xdr:rowOff>
    </xdr:from>
    <xdr:to>
      <xdr:col>25</xdr:col>
      <xdr:colOff>9883</xdr:colOff>
      <xdr:row>192</xdr:row>
      <xdr:rowOff>160290</xdr:rowOff>
    </xdr:to>
    <xdr:sp macro="" textlink="">
      <xdr:nvSpPr>
        <xdr:cNvPr id="7288047" name="Oval 20">
          <a:extLst>
            <a:ext uri="{FF2B5EF4-FFF2-40B4-BE49-F238E27FC236}">
              <a16:creationId xmlns:a16="http://schemas.microsoft.com/office/drawing/2014/main" id="{DCC3C095-118B-4CFF-BFF2-F2AD774FA85B}"/>
            </a:ext>
          </a:extLst>
        </xdr:cNvPr>
        <xdr:cNvSpPr>
          <a:spLocks noChangeArrowheads="1"/>
        </xdr:cNvSpPr>
      </xdr:nvSpPr>
      <xdr:spPr bwMode="auto">
        <a:xfrm>
          <a:off x="11290300" y="430149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271463</xdr:colOff>
      <xdr:row>192</xdr:row>
      <xdr:rowOff>23813</xdr:rowOff>
    </xdr:from>
    <xdr:to>
      <xdr:col>23</xdr:col>
      <xdr:colOff>176213</xdr:colOff>
      <xdr:row>192</xdr:row>
      <xdr:rowOff>23813</xdr:rowOff>
    </xdr:to>
    <xdr:cxnSp macro="">
      <xdr:nvCxnSpPr>
        <xdr:cNvPr id="8454180" name="AutoShape 21">
          <a:extLst>
            <a:ext uri="{FF2B5EF4-FFF2-40B4-BE49-F238E27FC236}">
              <a16:creationId xmlns:a16="http://schemas.microsoft.com/office/drawing/2014/main" id="{9DD3F738-C3B6-435A-96BD-56D1F1CC399B}"/>
            </a:ext>
          </a:extLst>
        </xdr:cNvPr>
        <xdr:cNvCxnSpPr>
          <a:cxnSpLocks noChangeShapeType="1"/>
          <a:stCxn id="7288044" idx="6"/>
          <a:endCxn id="7288047" idx="2"/>
        </xdr:cNvCxnSpPr>
      </xdr:nvCxnSpPr>
      <xdr:spPr bwMode="auto">
        <a:xfrm>
          <a:off x="10101263" y="42710100"/>
          <a:ext cx="6048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154940</xdr:colOff>
      <xdr:row>191</xdr:row>
      <xdr:rowOff>3270</xdr:rowOff>
    </xdr:from>
    <xdr:ext cx="303673" cy="170560"/>
    <xdr:sp macro="" textlink="">
      <xdr:nvSpPr>
        <xdr:cNvPr id="10262" name="Text Box 22">
          <a:extLst>
            <a:ext uri="{FF2B5EF4-FFF2-40B4-BE49-F238E27FC236}">
              <a16:creationId xmlns:a16="http://schemas.microsoft.com/office/drawing/2014/main" id="{2EB8ED2C-6694-4337-8DBA-8166BCC0EC78}"/>
            </a:ext>
          </a:extLst>
        </xdr:cNvPr>
        <xdr:cNvSpPr txBox="1">
          <a:spLocks noChangeArrowheads="1"/>
        </xdr:cNvSpPr>
      </xdr:nvSpPr>
      <xdr:spPr bwMode="auto">
        <a:xfrm>
          <a:off x="10268249" y="4253519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3.3.2</a:t>
          </a:r>
        </a:p>
      </xdr:txBody>
    </xdr:sp>
    <xdr:clientData/>
  </xdr:oneCellAnchor>
  <xdr:twoCellAnchor>
    <xdr:from>
      <xdr:col>23</xdr:col>
      <xdr:colOff>192723</xdr:colOff>
      <xdr:row>193</xdr:row>
      <xdr:rowOff>153669</xdr:rowOff>
    </xdr:from>
    <xdr:to>
      <xdr:col>25</xdr:col>
      <xdr:colOff>9883</xdr:colOff>
      <xdr:row>195</xdr:row>
      <xdr:rowOff>90453</xdr:rowOff>
    </xdr:to>
    <xdr:sp macro="" textlink="">
      <xdr:nvSpPr>
        <xdr:cNvPr id="7288050" name="Oval 23">
          <a:extLst>
            <a:ext uri="{FF2B5EF4-FFF2-40B4-BE49-F238E27FC236}">
              <a16:creationId xmlns:a16="http://schemas.microsoft.com/office/drawing/2014/main" id="{881CDCD8-A9FE-416E-AA83-C69C08467AA5}"/>
            </a:ext>
          </a:extLst>
        </xdr:cNvPr>
        <xdr:cNvSpPr>
          <a:spLocks noChangeArrowheads="1"/>
        </xdr:cNvSpPr>
      </xdr:nvSpPr>
      <xdr:spPr bwMode="auto">
        <a:xfrm>
          <a:off x="11290300" y="43434000"/>
          <a:ext cx="2794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61913</xdr:colOff>
      <xdr:row>192</xdr:row>
      <xdr:rowOff>228600</xdr:rowOff>
    </xdr:from>
    <xdr:to>
      <xdr:col>23</xdr:col>
      <xdr:colOff>176213</xdr:colOff>
      <xdr:row>194</xdr:row>
      <xdr:rowOff>152400</xdr:rowOff>
    </xdr:to>
    <xdr:cxnSp macro="">
      <xdr:nvCxnSpPr>
        <xdr:cNvPr id="8454183" name="AutoShape 24">
          <a:extLst>
            <a:ext uri="{FF2B5EF4-FFF2-40B4-BE49-F238E27FC236}">
              <a16:creationId xmlns:a16="http://schemas.microsoft.com/office/drawing/2014/main" id="{B72A023F-DD35-4AE9-9D8A-2F54674748FD}"/>
            </a:ext>
          </a:extLst>
        </xdr:cNvPr>
        <xdr:cNvCxnSpPr>
          <a:cxnSpLocks noChangeShapeType="1"/>
          <a:stCxn id="7288044" idx="4"/>
          <a:endCxn id="7288050" idx="2"/>
        </xdr:cNvCxnSpPr>
      </xdr:nvCxnSpPr>
      <xdr:spPr bwMode="auto">
        <a:xfrm rot="16200000" flipH="1">
          <a:off x="10170319" y="42626757"/>
          <a:ext cx="314325" cy="757237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116523</xdr:colOff>
      <xdr:row>193</xdr:row>
      <xdr:rowOff>53509</xdr:rowOff>
    </xdr:from>
    <xdr:ext cx="303673" cy="170560"/>
    <xdr:sp macro="" textlink="">
      <xdr:nvSpPr>
        <xdr:cNvPr id="10265" name="Text Box 25">
          <a:extLst>
            <a:ext uri="{FF2B5EF4-FFF2-40B4-BE49-F238E27FC236}">
              <a16:creationId xmlns:a16="http://schemas.microsoft.com/office/drawing/2014/main" id="{0B5E5DDB-CA3A-41A9-9A63-842641CDF321}"/>
            </a:ext>
          </a:extLst>
        </xdr:cNvPr>
        <xdr:cNvSpPr txBox="1">
          <a:spLocks noChangeArrowheads="1"/>
        </xdr:cNvSpPr>
      </xdr:nvSpPr>
      <xdr:spPr bwMode="auto">
        <a:xfrm>
          <a:off x="10229832" y="4291040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3.3.3</a:t>
          </a:r>
        </a:p>
      </xdr:txBody>
    </xdr:sp>
    <xdr:clientData/>
  </xdr:oneCellAnchor>
  <xdr:twoCellAnchor>
    <xdr:from>
      <xdr:col>16</xdr:col>
      <xdr:colOff>5173</xdr:colOff>
      <xdr:row>177</xdr:row>
      <xdr:rowOff>1270</xdr:rowOff>
    </xdr:from>
    <xdr:to>
      <xdr:col>17</xdr:col>
      <xdr:colOff>460</xdr:colOff>
      <xdr:row>179</xdr:row>
      <xdr:rowOff>2111</xdr:rowOff>
    </xdr:to>
    <xdr:sp macro="" textlink="">
      <xdr:nvSpPr>
        <xdr:cNvPr id="7288053" name="Oval 26">
          <a:extLst>
            <a:ext uri="{FF2B5EF4-FFF2-40B4-BE49-F238E27FC236}">
              <a16:creationId xmlns:a16="http://schemas.microsoft.com/office/drawing/2014/main" id="{DFF40227-A5ED-431C-B0F4-A77FE11DB6D3}"/>
            </a:ext>
          </a:extLst>
        </xdr:cNvPr>
        <xdr:cNvSpPr>
          <a:spLocks noChangeArrowheads="1"/>
        </xdr:cNvSpPr>
      </xdr:nvSpPr>
      <xdr:spPr bwMode="auto">
        <a:xfrm>
          <a:off x="9423400" y="406781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101918</xdr:colOff>
      <xdr:row>177</xdr:row>
      <xdr:rowOff>1270</xdr:rowOff>
    </xdr:from>
    <xdr:to>
      <xdr:col>20</xdr:col>
      <xdr:colOff>174627</xdr:colOff>
      <xdr:row>179</xdr:row>
      <xdr:rowOff>2111</xdr:rowOff>
    </xdr:to>
    <xdr:sp macro="" textlink="">
      <xdr:nvSpPr>
        <xdr:cNvPr id="7288054" name="Oval 27">
          <a:extLst>
            <a:ext uri="{FF2B5EF4-FFF2-40B4-BE49-F238E27FC236}">
              <a16:creationId xmlns:a16="http://schemas.microsoft.com/office/drawing/2014/main" id="{8219477F-AD39-45FB-9767-31C7020AB04D}"/>
            </a:ext>
          </a:extLst>
        </xdr:cNvPr>
        <xdr:cNvSpPr>
          <a:spLocks noChangeArrowheads="1"/>
        </xdr:cNvSpPr>
      </xdr:nvSpPr>
      <xdr:spPr bwMode="auto">
        <a:xfrm>
          <a:off x="10325100" y="406781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285750</xdr:colOff>
      <xdr:row>177</xdr:row>
      <xdr:rowOff>228600</xdr:rowOff>
    </xdr:from>
    <xdr:to>
      <xdr:col>19</xdr:col>
      <xdr:colOff>109538</xdr:colOff>
      <xdr:row>177</xdr:row>
      <xdr:rowOff>228600</xdr:rowOff>
    </xdr:to>
    <xdr:cxnSp macro="">
      <xdr:nvCxnSpPr>
        <xdr:cNvPr id="8454187" name="AutoShape 28">
          <a:extLst>
            <a:ext uri="{FF2B5EF4-FFF2-40B4-BE49-F238E27FC236}">
              <a16:creationId xmlns:a16="http://schemas.microsoft.com/office/drawing/2014/main" id="{05B60752-44A1-416D-9083-38814DB15854}"/>
            </a:ext>
          </a:extLst>
        </xdr:cNvPr>
        <xdr:cNvCxnSpPr>
          <a:cxnSpLocks noChangeShapeType="1"/>
          <a:stCxn id="7288053" idx="6"/>
          <a:endCxn id="7288054" idx="2"/>
        </xdr:cNvCxnSpPr>
      </xdr:nvCxnSpPr>
      <xdr:spPr bwMode="auto">
        <a:xfrm>
          <a:off x="9215438" y="40419338"/>
          <a:ext cx="5667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197168</xdr:colOff>
      <xdr:row>176</xdr:row>
      <xdr:rowOff>1233</xdr:rowOff>
    </xdr:from>
    <xdr:ext cx="303673" cy="170560"/>
    <xdr:sp macro="" textlink="">
      <xdr:nvSpPr>
        <xdr:cNvPr id="10269" name="Text Box 29">
          <a:extLst>
            <a:ext uri="{FF2B5EF4-FFF2-40B4-BE49-F238E27FC236}">
              <a16:creationId xmlns:a16="http://schemas.microsoft.com/office/drawing/2014/main" id="{1A23B7EA-C44A-441F-9D7A-21B64D6F6AC7}"/>
            </a:ext>
          </a:extLst>
        </xdr:cNvPr>
        <xdr:cNvSpPr txBox="1">
          <a:spLocks noChangeArrowheads="1"/>
        </xdr:cNvSpPr>
      </xdr:nvSpPr>
      <xdr:spPr bwMode="auto">
        <a:xfrm>
          <a:off x="9425213" y="4009588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2.2.1</a:t>
          </a:r>
        </a:p>
      </xdr:txBody>
    </xdr:sp>
    <xdr:clientData/>
  </xdr:oneCellAnchor>
  <xdr:twoCellAnchor>
    <xdr:from>
      <xdr:col>23</xdr:col>
      <xdr:colOff>135573</xdr:colOff>
      <xdr:row>175</xdr:row>
      <xdr:rowOff>0</xdr:rowOff>
    </xdr:from>
    <xdr:to>
      <xdr:col>24</xdr:col>
      <xdr:colOff>178409</xdr:colOff>
      <xdr:row>176</xdr:row>
      <xdr:rowOff>151727</xdr:rowOff>
    </xdr:to>
    <xdr:sp macro="" textlink="">
      <xdr:nvSpPr>
        <xdr:cNvPr id="7288057" name="Oval 30">
          <a:extLst>
            <a:ext uri="{FF2B5EF4-FFF2-40B4-BE49-F238E27FC236}">
              <a16:creationId xmlns:a16="http://schemas.microsoft.com/office/drawing/2014/main" id="{F1E8E7D9-ED35-4FB2-BB2E-4BF473085684}"/>
            </a:ext>
          </a:extLst>
        </xdr:cNvPr>
        <xdr:cNvSpPr>
          <a:spLocks noChangeArrowheads="1"/>
        </xdr:cNvSpPr>
      </xdr:nvSpPr>
      <xdr:spPr bwMode="auto">
        <a:xfrm>
          <a:off x="11252200" y="403352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323850</xdr:colOff>
      <xdr:row>175</xdr:row>
      <xdr:rowOff>204788</xdr:rowOff>
    </xdr:from>
    <xdr:to>
      <xdr:col>23</xdr:col>
      <xdr:colOff>128588</xdr:colOff>
      <xdr:row>177</xdr:row>
      <xdr:rowOff>23813</xdr:rowOff>
    </xdr:to>
    <xdr:cxnSp macro="">
      <xdr:nvCxnSpPr>
        <xdr:cNvPr id="8454190" name="AutoShape 31">
          <a:extLst>
            <a:ext uri="{FF2B5EF4-FFF2-40B4-BE49-F238E27FC236}">
              <a16:creationId xmlns:a16="http://schemas.microsoft.com/office/drawing/2014/main" id="{A9A7A360-C13E-4C82-A2C1-0FCE838529A2}"/>
            </a:ext>
          </a:extLst>
        </xdr:cNvPr>
        <xdr:cNvCxnSpPr>
          <a:cxnSpLocks noChangeShapeType="1"/>
          <a:stCxn id="7288054" idx="0"/>
          <a:endCxn id="7288057" idx="2"/>
        </xdr:cNvCxnSpPr>
      </xdr:nvCxnSpPr>
      <xdr:spPr bwMode="auto">
        <a:xfrm rot="-5400000">
          <a:off x="10179844" y="39802594"/>
          <a:ext cx="185737" cy="77152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20</xdr:col>
      <xdr:colOff>195898</xdr:colOff>
      <xdr:row>174</xdr:row>
      <xdr:rowOff>9694</xdr:rowOff>
    </xdr:from>
    <xdr:ext cx="303673" cy="170560"/>
    <xdr:sp macro="" textlink="">
      <xdr:nvSpPr>
        <xdr:cNvPr id="10272" name="Text Box 32">
          <a:extLst>
            <a:ext uri="{FF2B5EF4-FFF2-40B4-BE49-F238E27FC236}">
              <a16:creationId xmlns:a16="http://schemas.microsoft.com/office/drawing/2014/main" id="{252DA0FE-2DDC-48BB-9453-76BE2CDEDDD3}"/>
            </a:ext>
          </a:extLst>
        </xdr:cNvPr>
        <xdr:cNvSpPr txBox="1">
          <a:spLocks noChangeArrowheads="1"/>
        </xdr:cNvSpPr>
      </xdr:nvSpPr>
      <xdr:spPr bwMode="auto">
        <a:xfrm>
          <a:off x="10096296" y="3977937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2.2.2</a:t>
          </a:r>
        </a:p>
      </xdr:txBody>
    </xdr:sp>
    <xdr:clientData/>
  </xdr:oneCellAnchor>
  <xdr:twoCellAnchor>
    <xdr:from>
      <xdr:col>23</xdr:col>
      <xdr:colOff>135573</xdr:colOff>
      <xdr:row>179</xdr:row>
      <xdr:rowOff>55245</xdr:rowOff>
    </xdr:from>
    <xdr:to>
      <xdr:col>24</xdr:col>
      <xdr:colOff>178409</xdr:colOff>
      <xdr:row>181</xdr:row>
      <xdr:rowOff>5314</xdr:rowOff>
    </xdr:to>
    <xdr:sp macro="" textlink="">
      <xdr:nvSpPr>
        <xdr:cNvPr id="7288060" name="Oval 33">
          <a:extLst>
            <a:ext uri="{FF2B5EF4-FFF2-40B4-BE49-F238E27FC236}">
              <a16:creationId xmlns:a16="http://schemas.microsoft.com/office/drawing/2014/main" id="{5BC39A84-E09B-4119-BBB7-9FF39CD17CC1}"/>
            </a:ext>
          </a:extLst>
        </xdr:cNvPr>
        <xdr:cNvSpPr>
          <a:spLocks noChangeArrowheads="1"/>
        </xdr:cNvSpPr>
      </xdr:nvSpPr>
      <xdr:spPr bwMode="auto">
        <a:xfrm>
          <a:off x="11252200" y="410337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323850</xdr:colOff>
      <xdr:row>178</xdr:row>
      <xdr:rowOff>152400</xdr:rowOff>
    </xdr:from>
    <xdr:to>
      <xdr:col>23</xdr:col>
      <xdr:colOff>128588</xdr:colOff>
      <xdr:row>180</xdr:row>
      <xdr:rowOff>23813</xdr:rowOff>
    </xdr:to>
    <xdr:cxnSp macro="">
      <xdr:nvCxnSpPr>
        <xdr:cNvPr id="8454193" name="AutoShape 34">
          <a:extLst>
            <a:ext uri="{FF2B5EF4-FFF2-40B4-BE49-F238E27FC236}">
              <a16:creationId xmlns:a16="http://schemas.microsoft.com/office/drawing/2014/main" id="{0926542E-9020-4DD1-A2AE-F96AA1779BDA}"/>
            </a:ext>
          </a:extLst>
        </xdr:cNvPr>
        <xdr:cNvCxnSpPr>
          <a:cxnSpLocks noChangeShapeType="1"/>
          <a:stCxn id="7288054" idx="4"/>
          <a:endCxn id="7288060" idx="2"/>
        </xdr:cNvCxnSpPr>
      </xdr:nvCxnSpPr>
      <xdr:spPr bwMode="auto">
        <a:xfrm rot="16200000" flipH="1">
          <a:off x="10175082" y="40283606"/>
          <a:ext cx="195262" cy="771525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0</xdr:colOff>
      <xdr:row>178</xdr:row>
      <xdr:rowOff>118277</xdr:rowOff>
    </xdr:from>
    <xdr:ext cx="303673" cy="170560"/>
    <xdr:sp macro="" textlink="">
      <xdr:nvSpPr>
        <xdr:cNvPr id="10275" name="Text Box 35">
          <a:extLst>
            <a:ext uri="{FF2B5EF4-FFF2-40B4-BE49-F238E27FC236}">
              <a16:creationId xmlns:a16="http://schemas.microsoft.com/office/drawing/2014/main" id="{2061D544-D627-46E6-AC80-2B45C822118C}"/>
            </a:ext>
          </a:extLst>
        </xdr:cNvPr>
        <xdr:cNvSpPr txBox="1">
          <a:spLocks noChangeArrowheads="1"/>
        </xdr:cNvSpPr>
      </xdr:nvSpPr>
      <xdr:spPr bwMode="auto">
        <a:xfrm>
          <a:off x="10113309" y="4053789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2.2.3</a:t>
          </a:r>
        </a:p>
      </xdr:txBody>
    </xdr:sp>
    <xdr:clientData/>
  </xdr:oneCellAnchor>
  <xdr:twoCellAnchor>
    <xdr:from>
      <xdr:col>12</xdr:col>
      <xdr:colOff>728</xdr:colOff>
      <xdr:row>177</xdr:row>
      <xdr:rowOff>1270</xdr:rowOff>
    </xdr:from>
    <xdr:to>
      <xdr:col>13</xdr:col>
      <xdr:colOff>2882</xdr:colOff>
      <xdr:row>179</xdr:row>
      <xdr:rowOff>2111</xdr:rowOff>
    </xdr:to>
    <xdr:sp macro="" textlink="">
      <xdr:nvSpPr>
        <xdr:cNvPr id="7288063" name="Oval 36">
          <a:extLst>
            <a:ext uri="{FF2B5EF4-FFF2-40B4-BE49-F238E27FC236}">
              <a16:creationId xmlns:a16="http://schemas.microsoft.com/office/drawing/2014/main" id="{FF03B819-6433-4884-8549-46106239FA4A}"/>
            </a:ext>
          </a:extLst>
        </xdr:cNvPr>
        <xdr:cNvSpPr>
          <a:spLocks noChangeArrowheads="1"/>
        </xdr:cNvSpPr>
      </xdr:nvSpPr>
      <xdr:spPr bwMode="auto">
        <a:xfrm>
          <a:off x="8585200" y="406781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7</xdr:col>
      <xdr:colOff>165417</xdr:colOff>
      <xdr:row>177</xdr:row>
      <xdr:rowOff>1270</xdr:rowOff>
    </xdr:from>
    <xdr:to>
      <xdr:col>9</xdr:col>
      <xdr:colOff>6856</xdr:colOff>
      <xdr:row>179</xdr:row>
      <xdr:rowOff>2111</xdr:rowOff>
    </xdr:to>
    <xdr:sp macro="" textlink="">
      <xdr:nvSpPr>
        <xdr:cNvPr id="7288064" name="Oval 37">
          <a:extLst>
            <a:ext uri="{FF2B5EF4-FFF2-40B4-BE49-F238E27FC236}">
              <a16:creationId xmlns:a16="http://schemas.microsoft.com/office/drawing/2014/main" id="{B23FFB70-153E-4DDD-B06A-9AA8D332D4F0}"/>
            </a:ext>
          </a:extLst>
        </xdr:cNvPr>
        <xdr:cNvSpPr>
          <a:spLocks noChangeArrowheads="1"/>
        </xdr:cNvSpPr>
      </xdr:nvSpPr>
      <xdr:spPr bwMode="auto">
        <a:xfrm>
          <a:off x="7759700" y="406781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238125</xdr:colOff>
      <xdr:row>177</xdr:row>
      <xdr:rowOff>228600</xdr:rowOff>
    </xdr:from>
    <xdr:to>
      <xdr:col>11</xdr:col>
      <xdr:colOff>190500</xdr:colOff>
      <xdr:row>177</xdr:row>
      <xdr:rowOff>228600</xdr:rowOff>
    </xdr:to>
    <xdr:cxnSp macro="">
      <xdr:nvCxnSpPr>
        <xdr:cNvPr id="8454197" name="AutoShape 38">
          <a:extLst>
            <a:ext uri="{FF2B5EF4-FFF2-40B4-BE49-F238E27FC236}">
              <a16:creationId xmlns:a16="http://schemas.microsoft.com/office/drawing/2014/main" id="{D4CADC54-1052-4E8A-8E3D-48EF8264BCE1}"/>
            </a:ext>
          </a:extLst>
        </xdr:cNvPr>
        <xdr:cNvCxnSpPr>
          <a:cxnSpLocks noChangeShapeType="1"/>
          <a:stCxn id="7288064" idx="6"/>
          <a:endCxn id="7288063" idx="2"/>
        </xdr:cNvCxnSpPr>
      </xdr:nvCxnSpPr>
      <xdr:spPr bwMode="auto">
        <a:xfrm>
          <a:off x="7586663" y="40419338"/>
          <a:ext cx="5905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117475</xdr:colOff>
      <xdr:row>176</xdr:row>
      <xdr:rowOff>105261</xdr:rowOff>
    </xdr:from>
    <xdr:ext cx="303673" cy="170560"/>
    <xdr:sp macro="" textlink="">
      <xdr:nvSpPr>
        <xdr:cNvPr id="10279" name="Text Box 39">
          <a:extLst>
            <a:ext uri="{FF2B5EF4-FFF2-40B4-BE49-F238E27FC236}">
              <a16:creationId xmlns:a16="http://schemas.microsoft.com/office/drawing/2014/main" id="{D7A7C728-0A9B-4A20-B87C-061BF3A8CC69}"/>
            </a:ext>
          </a:extLst>
        </xdr:cNvPr>
        <xdr:cNvSpPr txBox="1">
          <a:spLocks noChangeArrowheads="1"/>
        </xdr:cNvSpPr>
      </xdr:nvSpPr>
      <xdr:spPr bwMode="auto">
        <a:xfrm>
          <a:off x="7703857" y="4019990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2.1.1</a:t>
          </a:r>
        </a:p>
      </xdr:txBody>
    </xdr:sp>
    <xdr:clientData/>
  </xdr:oneCellAnchor>
  <xdr:twoCellAnchor>
    <xdr:from>
      <xdr:col>12</xdr:col>
      <xdr:colOff>261938</xdr:colOff>
      <xdr:row>177</xdr:row>
      <xdr:rowOff>228600</xdr:rowOff>
    </xdr:from>
    <xdr:to>
      <xdr:col>15</xdr:col>
      <xdr:colOff>214313</xdr:colOff>
      <xdr:row>177</xdr:row>
      <xdr:rowOff>228600</xdr:rowOff>
    </xdr:to>
    <xdr:cxnSp macro="">
      <xdr:nvCxnSpPr>
        <xdr:cNvPr id="8454199" name="AutoShape 40">
          <a:extLst>
            <a:ext uri="{FF2B5EF4-FFF2-40B4-BE49-F238E27FC236}">
              <a16:creationId xmlns:a16="http://schemas.microsoft.com/office/drawing/2014/main" id="{CFDB7863-92FA-4062-8977-1122455533B7}"/>
            </a:ext>
          </a:extLst>
        </xdr:cNvPr>
        <xdr:cNvCxnSpPr>
          <a:cxnSpLocks noChangeShapeType="1"/>
          <a:stCxn id="7288063" idx="6"/>
          <a:endCxn id="7288053" idx="2"/>
        </xdr:cNvCxnSpPr>
      </xdr:nvCxnSpPr>
      <xdr:spPr bwMode="auto">
        <a:xfrm>
          <a:off x="8386763" y="40419338"/>
          <a:ext cx="6000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60961</xdr:colOff>
      <xdr:row>176</xdr:row>
      <xdr:rowOff>109706</xdr:rowOff>
    </xdr:from>
    <xdr:ext cx="303673" cy="170560"/>
    <xdr:sp macro="" textlink="">
      <xdr:nvSpPr>
        <xdr:cNvPr id="10281" name="Text Box 41">
          <a:extLst>
            <a:ext uri="{FF2B5EF4-FFF2-40B4-BE49-F238E27FC236}">
              <a16:creationId xmlns:a16="http://schemas.microsoft.com/office/drawing/2014/main" id="{1E6A055A-FF64-4884-A847-705751036269}"/>
            </a:ext>
          </a:extLst>
        </xdr:cNvPr>
        <xdr:cNvSpPr txBox="1">
          <a:spLocks noChangeArrowheads="1"/>
        </xdr:cNvSpPr>
      </xdr:nvSpPr>
      <xdr:spPr bwMode="auto">
        <a:xfrm>
          <a:off x="8454167" y="40204353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2.1.2</a:t>
          </a:r>
        </a:p>
      </xdr:txBody>
    </xdr:sp>
    <xdr:clientData/>
  </xdr:oneCellAnchor>
  <xdr:twoCellAnchor>
    <xdr:from>
      <xdr:col>16</xdr:col>
      <xdr:colOff>61913</xdr:colOff>
      <xdr:row>178</xdr:row>
      <xdr:rowOff>152400</xdr:rowOff>
    </xdr:from>
    <xdr:to>
      <xdr:col>16</xdr:col>
      <xdr:colOff>61913</xdr:colOff>
      <xdr:row>184</xdr:row>
      <xdr:rowOff>228600</xdr:rowOff>
    </xdr:to>
    <xdr:cxnSp macro="">
      <xdr:nvCxnSpPr>
        <xdr:cNvPr id="8454201" name="AutoShape 42">
          <a:extLst>
            <a:ext uri="{FF2B5EF4-FFF2-40B4-BE49-F238E27FC236}">
              <a16:creationId xmlns:a16="http://schemas.microsoft.com/office/drawing/2014/main" id="{5E2D4499-B3A3-4566-962B-3DAD94D661C5}"/>
            </a:ext>
          </a:extLst>
        </xdr:cNvPr>
        <xdr:cNvCxnSpPr>
          <a:cxnSpLocks noChangeShapeType="1"/>
          <a:stCxn id="7288053" idx="4"/>
          <a:endCxn id="7288029" idx="0"/>
        </xdr:cNvCxnSpPr>
      </xdr:nvCxnSpPr>
      <xdr:spPr bwMode="auto">
        <a:xfrm rot="5400000">
          <a:off x="8558212" y="41062276"/>
          <a:ext cx="981075" cy="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28</xdr:col>
      <xdr:colOff>9469</xdr:colOff>
      <xdr:row>124</xdr:row>
      <xdr:rowOff>139382</xdr:rowOff>
    </xdr:from>
    <xdr:to>
      <xdr:col>29</xdr:col>
      <xdr:colOff>3990</xdr:colOff>
      <xdr:row>126</xdr:row>
      <xdr:rowOff>38408</xdr:rowOff>
    </xdr:to>
    <xdr:sp macro="" textlink="">
      <xdr:nvSpPr>
        <xdr:cNvPr id="7288070" name="Oval 43">
          <a:extLst>
            <a:ext uri="{FF2B5EF4-FFF2-40B4-BE49-F238E27FC236}">
              <a16:creationId xmlns:a16="http://schemas.microsoft.com/office/drawing/2014/main" id="{FBAFADB1-82CC-4546-AA2D-6429B81B84A3}"/>
            </a:ext>
          </a:extLst>
        </xdr:cNvPr>
        <xdr:cNvSpPr>
          <a:spLocks noChangeArrowheads="1"/>
        </xdr:cNvSpPr>
      </xdr:nvSpPr>
      <xdr:spPr bwMode="auto">
        <a:xfrm>
          <a:off x="12268200" y="320040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124</xdr:row>
      <xdr:rowOff>139382</xdr:rowOff>
    </xdr:from>
    <xdr:to>
      <xdr:col>25</xdr:col>
      <xdr:colOff>755</xdr:colOff>
      <xdr:row>126</xdr:row>
      <xdr:rowOff>38408</xdr:rowOff>
    </xdr:to>
    <xdr:sp macro="" textlink="">
      <xdr:nvSpPr>
        <xdr:cNvPr id="7288071" name="Oval 44">
          <a:extLst>
            <a:ext uri="{FF2B5EF4-FFF2-40B4-BE49-F238E27FC236}">
              <a16:creationId xmlns:a16="http://schemas.microsoft.com/office/drawing/2014/main" id="{7242C952-1051-4A79-9D31-F1887F1A1C57}"/>
            </a:ext>
          </a:extLst>
        </xdr:cNvPr>
        <xdr:cNvSpPr>
          <a:spLocks noChangeArrowheads="1"/>
        </xdr:cNvSpPr>
      </xdr:nvSpPr>
      <xdr:spPr bwMode="auto">
        <a:xfrm>
          <a:off x="11353800" y="320040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125</xdr:row>
      <xdr:rowOff>95250</xdr:rowOff>
    </xdr:from>
    <xdr:to>
      <xdr:col>27</xdr:col>
      <xdr:colOff>271463</xdr:colOff>
      <xdr:row>125</xdr:row>
      <xdr:rowOff>95250</xdr:rowOff>
    </xdr:to>
    <xdr:cxnSp macro="">
      <xdr:nvCxnSpPr>
        <xdr:cNvPr id="8454204" name="AutoShape 45">
          <a:extLst>
            <a:ext uri="{FF2B5EF4-FFF2-40B4-BE49-F238E27FC236}">
              <a16:creationId xmlns:a16="http://schemas.microsoft.com/office/drawing/2014/main" id="{C9F3B013-4D5C-4D90-8646-852FB0F43984}"/>
            </a:ext>
          </a:extLst>
        </xdr:cNvPr>
        <xdr:cNvCxnSpPr>
          <a:cxnSpLocks noChangeShapeType="1"/>
          <a:stCxn id="7288071" idx="6"/>
          <a:endCxn id="7288070" idx="2"/>
        </xdr:cNvCxnSpPr>
      </xdr:nvCxnSpPr>
      <xdr:spPr bwMode="auto">
        <a:xfrm>
          <a:off x="10958513" y="31932563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26</xdr:col>
      <xdr:colOff>10738</xdr:colOff>
      <xdr:row>124</xdr:row>
      <xdr:rowOff>15970</xdr:rowOff>
    </xdr:from>
    <xdr:ext cx="303673" cy="170560"/>
    <xdr:sp macro="" textlink="">
      <xdr:nvSpPr>
        <xdr:cNvPr id="10286" name="Text Box 46">
          <a:extLst>
            <a:ext uri="{FF2B5EF4-FFF2-40B4-BE49-F238E27FC236}">
              <a16:creationId xmlns:a16="http://schemas.microsoft.com/office/drawing/2014/main" id="{939FBADD-38DC-406E-829F-BDA82B758517}"/>
            </a:ext>
          </a:extLst>
        </xdr:cNvPr>
        <xdr:cNvSpPr txBox="1">
          <a:spLocks noChangeArrowheads="1"/>
        </xdr:cNvSpPr>
      </xdr:nvSpPr>
      <xdr:spPr bwMode="auto">
        <a:xfrm>
          <a:off x="11188606" y="31661382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1.1.1</a:t>
          </a:r>
        </a:p>
      </xdr:txBody>
    </xdr:sp>
    <xdr:clientData/>
  </xdr:oneCellAnchor>
  <xdr:twoCellAnchor>
    <xdr:from>
      <xdr:col>28</xdr:col>
      <xdr:colOff>9469</xdr:colOff>
      <xdr:row>128</xdr:row>
      <xdr:rowOff>55245</xdr:rowOff>
    </xdr:from>
    <xdr:to>
      <xdr:col>29</xdr:col>
      <xdr:colOff>3990</xdr:colOff>
      <xdr:row>130</xdr:row>
      <xdr:rowOff>5314</xdr:rowOff>
    </xdr:to>
    <xdr:sp macro="" textlink="">
      <xdr:nvSpPr>
        <xdr:cNvPr id="7288074" name="Oval 47">
          <a:extLst>
            <a:ext uri="{FF2B5EF4-FFF2-40B4-BE49-F238E27FC236}">
              <a16:creationId xmlns:a16="http://schemas.microsoft.com/office/drawing/2014/main" id="{FC79E69A-B31F-4604-A27C-CB8872C022C5}"/>
            </a:ext>
          </a:extLst>
        </xdr:cNvPr>
        <xdr:cNvSpPr>
          <a:spLocks noChangeArrowheads="1"/>
        </xdr:cNvSpPr>
      </xdr:nvSpPr>
      <xdr:spPr bwMode="auto">
        <a:xfrm>
          <a:off x="12268200" y="326136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128</xdr:row>
      <xdr:rowOff>55245</xdr:rowOff>
    </xdr:from>
    <xdr:to>
      <xdr:col>25</xdr:col>
      <xdr:colOff>755</xdr:colOff>
      <xdr:row>130</xdr:row>
      <xdr:rowOff>5314</xdr:rowOff>
    </xdr:to>
    <xdr:sp macro="" textlink="">
      <xdr:nvSpPr>
        <xdr:cNvPr id="7288075" name="Oval 48">
          <a:extLst>
            <a:ext uri="{FF2B5EF4-FFF2-40B4-BE49-F238E27FC236}">
              <a16:creationId xmlns:a16="http://schemas.microsoft.com/office/drawing/2014/main" id="{D0A9DBEB-AAB4-42DA-9161-F40ADF482B3E}"/>
            </a:ext>
          </a:extLst>
        </xdr:cNvPr>
        <xdr:cNvSpPr>
          <a:spLocks noChangeArrowheads="1"/>
        </xdr:cNvSpPr>
      </xdr:nvSpPr>
      <xdr:spPr bwMode="auto">
        <a:xfrm>
          <a:off x="11353800" y="326136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129</xdr:row>
      <xdr:rowOff>23813</xdr:rowOff>
    </xdr:from>
    <xdr:to>
      <xdr:col>27</xdr:col>
      <xdr:colOff>271463</xdr:colOff>
      <xdr:row>129</xdr:row>
      <xdr:rowOff>23813</xdr:rowOff>
    </xdr:to>
    <xdr:cxnSp macro="">
      <xdr:nvCxnSpPr>
        <xdr:cNvPr id="8454208" name="AutoShape 49">
          <a:extLst>
            <a:ext uri="{FF2B5EF4-FFF2-40B4-BE49-F238E27FC236}">
              <a16:creationId xmlns:a16="http://schemas.microsoft.com/office/drawing/2014/main" id="{40BED3A4-E0D4-44FA-A2C1-AB02675921D3}"/>
            </a:ext>
          </a:extLst>
        </xdr:cNvPr>
        <xdr:cNvCxnSpPr>
          <a:cxnSpLocks noChangeShapeType="1"/>
          <a:stCxn id="7288075" idx="6"/>
          <a:endCxn id="7288074" idx="2"/>
        </xdr:cNvCxnSpPr>
      </xdr:nvCxnSpPr>
      <xdr:spPr bwMode="auto">
        <a:xfrm>
          <a:off x="10958513" y="32508825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115888</xdr:colOff>
      <xdr:row>127</xdr:row>
      <xdr:rowOff>118277</xdr:rowOff>
    </xdr:from>
    <xdr:ext cx="303673" cy="170560"/>
    <xdr:sp macro="" textlink="">
      <xdr:nvSpPr>
        <xdr:cNvPr id="10290" name="Text Box 50">
          <a:extLst>
            <a:ext uri="{FF2B5EF4-FFF2-40B4-BE49-F238E27FC236}">
              <a16:creationId xmlns:a16="http://schemas.microsoft.com/office/drawing/2014/main" id="{3D289151-5E94-468A-99AA-8B464335887F}"/>
            </a:ext>
          </a:extLst>
        </xdr:cNvPr>
        <xdr:cNvSpPr txBox="1">
          <a:spLocks noChangeArrowheads="1"/>
        </xdr:cNvSpPr>
      </xdr:nvSpPr>
      <xdr:spPr bwMode="auto">
        <a:xfrm>
          <a:off x="11080844" y="3225114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1.1.2</a:t>
          </a:r>
        </a:p>
      </xdr:txBody>
    </xdr:sp>
    <xdr:clientData/>
  </xdr:oneCellAnchor>
  <xdr:twoCellAnchor>
    <xdr:from>
      <xdr:col>28</xdr:col>
      <xdr:colOff>9469</xdr:colOff>
      <xdr:row>132</xdr:row>
      <xdr:rowOff>29846</xdr:rowOff>
    </xdr:from>
    <xdr:to>
      <xdr:col>29</xdr:col>
      <xdr:colOff>3990</xdr:colOff>
      <xdr:row>133</xdr:row>
      <xdr:rowOff>152872</xdr:rowOff>
    </xdr:to>
    <xdr:sp macro="" textlink="">
      <xdr:nvSpPr>
        <xdr:cNvPr id="7288078" name="Oval 51">
          <a:extLst>
            <a:ext uri="{FF2B5EF4-FFF2-40B4-BE49-F238E27FC236}">
              <a16:creationId xmlns:a16="http://schemas.microsoft.com/office/drawing/2014/main" id="{0F473CE5-2999-41E4-AB1F-3E3641DA8890}"/>
            </a:ext>
          </a:extLst>
        </xdr:cNvPr>
        <xdr:cNvSpPr>
          <a:spLocks noChangeArrowheads="1"/>
        </xdr:cNvSpPr>
      </xdr:nvSpPr>
      <xdr:spPr bwMode="auto">
        <a:xfrm>
          <a:off x="12268200" y="332486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132</xdr:row>
      <xdr:rowOff>29846</xdr:rowOff>
    </xdr:from>
    <xdr:to>
      <xdr:col>25</xdr:col>
      <xdr:colOff>755</xdr:colOff>
      <xdr:row>133</xdr:row>
      <xdr:rowOff>152872</xdr:rowOff>
    </xdr:to>
    <xdr:sp macro="" textlink="">
      <xdr:nvSpPr>
        <xdr:cNvPr id="7288079" name="Oval 52">
          <a:extLst>
            <a:ext uri="{FF2B5EF4-FFF2-40B4-BE49-F238E27FC236}">
              <a16:creationId xmlns:a16="http://schemas.microsoft.com/office/drawing/2014/main" id="{C90273A4-5724-4563-B907-CDF48CDB5CBE}"/>
            </a:ext>
          </a:extLst>
        </xdr:cNvPr>
        <xdr:cNvSpPr>
          <a:spLocks noChangeArrowheads="1"/>
        </xdr:cNvSpPr>
      </xdr:nvSpPr>
      <xdr:spPr bwMode="auto">
        <a:xfrm>
          <a:off x="11353800" y="332486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132</xdr:row>
      <xdr:rowOff>228600</xdr:rowOff>
    </xdr:from>
    <xdr:to>
      <xdr:col>27</xdr:col>
      <xdr:colOff>271463</xdr:colOff>
      <xdr:row>132</xdr:row>
      <xdr:rowOff>228600</xdr:rowOff>
    </xdr:to>
    <xdr:cxnSp macro="">
      <xdr:nvCxnSpPr>
        <xdr:cNvPr id="8454212" name="AutoShape 53">
          <a:extLst>
            <a:ext uri="{FF2B5EF4-FFF2-40B4-BE49-F238E27FC236}">
              <a16:creationId xmlns:a16="http://schemas.microsoft.com/office/drawing/2014/main" id="{8E3D3D6E-617C-428A-9DAB-ADE8C9E873AF}"/>
            </a:ext>
          </a:extLst>
        </xdr:cNvPr>
        <xdr:cNvCxnSpPr>
          <a:cxnSpLocks noChangeShapeType="1"/>
          <a:stCxn id="7288079" idx="6"/>
          <a:endCxn id="7288078" idx="2"/>
        </xdr:cNvCxnSpPr>
      </xdr:nvCxnSpPr>
      <xdr:spPr bwMode="auto">
        <a:xfrm>
          <a:off x="10958513" y="33132713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115888</xdr:colOff>
      <xdr:row>131</xdr:row>
      <xdr:rowOff>108435</xdr:rowOff>
    </xdr:from>
    <xdr:ext cx="303673" cy="170560"/>
    <xdr:sp macro="" textlink="">
      <xdr:nvSpPr>
        <xdr:cNvPr id="10294" name="Text Box 54">
          <a:extLst>
            <a:ext uri="{FF2B5EF4-FFF2-40B4-BE49-F238E27FC236}">
              <a16:creationId xmlns:a16="http://schemas.microsoft.com/office/drawing/2014/main" id="{46FE5346-CE8F-4B04-8724-30CBA0E2011E}"/>
            </a:ext>
          </a:extLst>
        </xdr:cNvPr>
        <xdr:cNvSpPr txBox="1">
          <a:spLocks noChangeArrowheads="1"/>
        </xdr:cNvSpPr>
      </xdr:nvSpPr>
      <xdr:spPr bwMode="auto">
        <a:xfrm>
          <a:off x="11080844" y="3289124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1.1.3</a:t>
          </a:r>
        </a:p>
      </xdr:txBody>
    </xdr:sp>
    <xdr:clientData/>
  </xdr:oneCellAnchor>
  <xdr:twoCellAnchor>
    <xdr:from>
      <xdr:col>28</xdr:col>
      <xdr:colOff>9469</xdr:colOff>
      <xdr:row>135</xdr:row>
      <xdr:rowOff>106362</xdr:rowOff>
    </xdr:from>
    <xdr:to>
      <xdr:col>29</xdr:col>
      <xdr:colOff>3990</xdr:colOff>
      <xdr:row>136</xdr:row>
      <xdr:rowOff>151393</xdr:rowOff>
    </xdr:to>
    <xdr:sp macro="" textlink="">
      <xdr:nvSpPr>
        <xdr:cNvPr id="7288082" name="Oval 55">
          <a:extLst>
            <a:ext uri="{FF2B5EF4-FFF2-40B4-BE49-F238E27FC236}">
              <a16:creationId xmlns:a16="http://schemas.microsoft.com/office/drawing/2014/main" id="{C74B3320-C893-4E25-B8B6-00E846A8E529}"/>
            </a:ext>
          </a:extLst>
        </xdr:cNvPr>
        <xdr:cNvSpPr>
          <a:spLocks noChangeArrowheads="1"/>
        </xdr:cNvSpPr>
      </xdr:nvSpPr>
      <xdr:spPr bwMode="auto">
        <a:xfrm>
          <a:off x="12268200" y="337947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135</xdr:row>
      <xdr:rowOff>106362</xdr:rowOff>
    </xdr:from>
    <xdr:to>
      <xdr:col>25</xdr:col>
      <xdr:colOff>755</xdr:colOff>
      <xdr:row>136</xdr:row>
      <xdr:rowOff>151393</xdr:rowOff>
    </xdr:to>
    <xdr:sp macro="" textlink="">
      <xdr:nvSpPr>
        <xdr:cNvPr id="7288083" name="Oval 56">
          <a:extLst>
            <a:ext uri="{FF2B5EF4-FFF2-40B4-BE49-F238E27FC236}">
              <a16:creationId xmlns:a16="http://schemas.microsoft.com/office/drawing/2014/main" id="{017CBAC9-D03F-4F55-BEAE-A0053056B40E}"/>
            </a:ext>
          </a:extLst>
        </xdr:cNvPr>
        <xdr:cNvSpPr>
          <a:spLocks noChangeArrowheads="1"/>
        </xdr:cNvSpPr>
      </xdr:nvSpPr>
      <xdr:spPr bwMode="auto">
        <a:xfrm>
          <a:off x="11353800" y="337947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136</xdr:row>
      <xdr:rowOff>23813</xdr:rowOff>
    </xdr:from>
    <xdr:to>
      <xdr:col>27</xdr:col>
      <xdr:colOff>271463</xdr:colOff>
      <xdr:row>136</xdr:row>
      <xdr:rowOff>23813</xdr:rowOff>
    </xdr:to>
    <xdr:cxnSp macro="">
      <xdr:nvCxnSpPr>
        <xdr:cNvPr id="8454216" name="AutoShape 57">
          <a:extLst>
            <a:ext uri="{FF2B5EF4-FFF2-40B4-BE49-F238E27FC236}">
              <a16:creationId xmlns:a16="http://schemas.microsoft.com/office/drawing/2014/main" id="{D0F184D0-A6EC-46B0-A23B-51C610978B31}"/>
            </a:ext>
          </a:extLst>
        </xdr:cNvPr>
        <xdr:cNvCxnSpPr>
          <a:cxnSpLocks noChangeShapeType="1"/>
          <a:stCxn id="7288083" idx="6"/>
          <a:endCxn id="7288082" idx="2"/>
        </xdr:cNvCxnSpPr>
      </xdr:nvCxnSpPr>
      <xdr:spPr bwMode="auto">
        <a:xfrm>
          <a:off x="10958513" y="33642300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110173</xdr:colOff>
      <xdr:row>134</xdr:row>
      <xdr:rowOff>141454</xdr:rowOff>
    </xdr:from>
    <xdr:ext cx="303673" cy="170560"/>
    <xdr:sp macro="" textlink="">
      <xdr:nvSpPr>
        <xdr:cNvPr id="10298" name="Text Box 58">
          <a:extLst>
            <a:ext uri="{FF2B5EF4-FFF2-40B4-BE49-F238E27FC236}">
              <a16:creationId xmlns:a16="http://schemas.microsoft.com/office/drawing/2014/main" id="{19674C45-DD48-40E6-AAF9-5A33EB39F239}"/>
            </a:ext>
          </a:extLst>
        </xdr:cNvPr>
        <xdr:cNvSpPr txBox="1">
          <a:spLocks noChangeArrowheads="1"/>
        </xdr:cNvSpPr>
      </xdr:nvSpPr>
      <xdr:spPr bwMode="auto">
        <a:xfrm>
          <a:off x="11075129" y="3341171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1.1.4</a:t>
          </a:r>
        </a:p>
      </xdr:txBody>
    </xdr:sp>
    <xdr:clientData/>
  </xdr:oneCellAnchor>
  <xdr:twoCellAnchor>
    <xdr:from>
      <xdr:col>28</xdr:col>
      <xdr:colOff>9469</xdr:colOff>
      <xdr:row>139</xdr:row>
      <xdr:rowOff>0</xdr:rowOff>
    </xdr:from>
    <xdr:to>
      <xdr:col>29</xdr:col>
      <xdr:colOff>3990</xdr:colOff>
      <xdr:row>140</xdr:row>
      <xdr:rowOff>144062</xdr:rowOff>
    </xdr:to>
    <xdr:sp macro="" textlink="">
      <xdr:nvSpPr>
        <xdr:cNvPr id="7288086" name="Oval 59">
          <a:extLst>
            <a:ext uri="{FF2B5EF4-FFF2-40B4-BE49-F238E27FC236}">
              <a16:creationId xmlns:a16="http://schemas.microsoft.com/office/drawing/2014/main" id="{97944CC6-8725-4FA2-84DC-C4468242FBF4}"/>
            </a:ext>
          </a:extLst>
        </xdr:cNvPr>
        <xdr:cNvSpPr>
          <a:spLocks noChangeArrowheads="1"/>
        </xdr:cNvSpPr>
      </xdr:nvSpPr>
      <xdr:spPr bwMode="auto">
        <a:xfrm>
          <a:off x="12268200" y="343916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139</xdr:row>
      <xdr:rowOff>0</xdr:rowOff>
    </xdr:from>
    <xdr:to>
      <xdr:col>25</xdr:col>
      <xdr:colOff>755</xdr:colOff>
      <xdr:row>140</xdr:row>
      <xdr:rowOff>144062</xdr:rowOff>
    </xdr:to>
    <xdr:sp macro="" textlink="">
      <xdr:nvSpPr>
        <xdr:cNvPr id="7288087" name="Oval 60">
          <a:extLst>
            <a:ext uri="{FF2B5EF4-FFF2-40B4-BE49-F238E27FC236}">
              <a16:creationId xmlns:a16="http://schemas.microsoft.com/office/drawing/2014/main" id="{F12177F6-751A-45D8-A6F4-4EB2BCDE8871}"/>
            </a:ext>
          </a:extLst>
        </xdr:cNvPr>
        <xdr:cNvSpPr>
          <a:spLocks noChangeArrowheads="1"/>
        </xdr:cNvSpPr>
      </xdr:nvSpPr>
      <xdr:spPr bwMode="auto">
        <a:xfrm>
          <a:off x="11353800" y="343916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139</xdr:row>
      <xdr:rowOff>204788</xdr:rowOff>
    </xdr:from>
    <xdr:to>
      <xdr:col>27</xdr:col>
      <xdr:colOff>271463</xdr:colOff>
      <xdr:row>139</xdr:row>
      <xdr:rowOff>204788</xdr:rowOff>
    </xdr:to>
    <xdr:cxnSp macro="">
      <xdr:nvCxnSpPr>
        <xdr:cNvPr id="8454220" name="AutoShape 61">
          <a:extLst>
            <a:ext uri="{FF2B5EF4-FFF2-40B4-BE49-F238E27FC236}">
              <a16:creationId xmlns:a16="http://schemas.microsoft.com/office/drawing/2014/main" id="{7D09DEA7-6A10-42A5-807B-2F75FD5F0285}"/>
            </a:ext>
          </a:extLst>
        </xdr:cNvPr>
        <xdr:cNvCxnSpPr>
          <a:cxnSpLocks noChangeShapeType="1"/>
          <a:stCxn id="7288087" idx="6"/>
          <a:endCxn id="7288086" idx="2"/>
        </xdr:cNvCxnSpPr>
      </xdr:nvCxnSpPr>
      <xdr:spPr bwMode="auto">
        <a:xfrm>
          <a:off x="10958513" y="34266188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110173</xdr:colOff>
      <xdr:row>138</xdr:row>
      <xdr:rowOff>111610</xdr:rowOff>
    </xdr:from>
    <xdr:ext cx="303673" cy="170560"/>
    <xdr:sp macro="" textlink="">
      <xdr:nvSpPr>
        <xdr:cNvPr id="10302" name="Text Box 62">
          <a:extLst>
            <a:ext uri="{FF2B5EF4-FFF2-40B4-BE49-F238E27FC236}">
              <a16:creationId xmlns:a16="http://schemas.microsoft.com/office/drawing/2014/main" id="{D50EBA93-FE23-4F82-818A-EDB54C7F02C1}"/>
            </a:ext>
          </a:extLst>
        </xdr:cNvPr>
        <xdr:cNvSpPr txBox="1">
          <a:spLocks noChangeArrowheads="1"/>
        </xdr:cNvSpPr>
      </xdr:nvSpPr>
      <xdr:spPr bwMode="auto">
        <a:xfrm>
          <a:off x="11075129" y="34031816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1.1.5</a:t>
          </a:r>
        </a:p>
      </xdr:txBody>
    </xdr:sp>
    <xdr:clientData/>
  </xdr:oneCellAnchor>
  <xdr:twoCellAnchor>
    <xdr:from>
      <xdr:col>28</xdr:col>
      <xdr:colOff>9469</xdr:colOff>
      <xdr:row>142</xdr:row>
      <xdr:rowOff>153987</xdr:rowOff>
    </xdr:from>
    <xdr:to>
      <xdr:col>29</xdr:col>
      <xdr:colOff>3990</xdr:colOff>
      <xdr:row>144</xdr:row>
      <xdr:rowOff>134742</xdr:rowOff>
    </xdr:to>
    <xdr:sp macro="" textlink="">
      <xdr:nvSpPr>
        <xdr:cNvPr id="7288090" name="Oval 63">
          <a:extLst>
            <a:ext uri="{FF2B5EF4-FFF2-40B4-BE49-F238E27FC236}">
              <a16:creationId xmlns:a16="http://schemas.microsoft.com/office/drawing/2014/main" id="{F34D7352-5D9E-4AC4-8936-97897B6E35FD}"/>
            </a:ext>
          </a:extLst>
        </xdr:cNvPr>
        <xdr:cNvSpPr>
          <a:spLocks noChangeArrowheads="1"/>
        </xdr:cNvSpPr>
      </xdr:nvSpPr>
      <xdr:spPr bwMode="auto">
        <a:xfrm>
          <a:off x="12268200" y="350266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142</xdr:row>
      <xdr:rowOff>153987</xdr:rowOff>
    </xdr:from>
    <xdr:to>
      <xdr:col>25</xdr:col>
      <xdr:colOff>755</xdr:colOff>
      <xdr:row>144</xdr:row>
      <xdr:rowOff>134742</xdr:rowOff>
    </xdr:to>
    <xdr:sp macro="" textlink="">
      <xdr:nvSpPr>
        <xdr:cNvPr id="7288091" name="Oval 64">
          <a:extLst>
            <a:ext uri="{FF2B5EF4-FFF2-40B4-BE49-F238E27FC236}">
              <a16:creationId xmlns:a16="http://schemas.microsoft.com/office/drawing/2014/main" id="{2CD086D1-CEB9-4238-A464-EAE93BC271CE}"/>
            </a:ext>
          </a:extLst>
        </xdr:cNvPr>
        <xdr:cNvSpPr>
          <a:spLocks noChangeArrowheads="1"/>
        </xdr:cNvSpPr>
      </xdr:nvSpPr>
      <xdr:spPr bwMode="auto">
        <a:xfrm>
          <a:off x="11353800" y="35026600"/>
          <a:ext cx="2667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323850</xdr:colOff>
      <xdr:row>143</xdr:row>
      <xdr:rowOff>152400</xdr:rowOff>
    </xdr:from>
    <xdr:to>
      <xdr:col>27</xdr:col>
      <xdr:colOff>271463</xdr:colOff>
      <xdr:row>143</xdr:row>
      <xdr:rowOff>152400</xdr:rowOff>
    </xdr:to>
    <xdr:cxnSp macro="">
      <xdr:nvCxnSpPr>
        <xdr:cNvPr id="8454224" name="AutoShape 65">
          <a:extLst>
            <a:ext uri="{FF2B5EF4-FFF2-40B4-BE49-F238E27FC236}">
              <a16:creationId xmlns:a16="http://schemas.microsoft.com/office/drawing/2014/main" id="{8840C07C-151D-4D4E-94F8-B43381E02AF8}"/>
            </a:ext>
          </a:extLst>
        </xdr:cNvPr>
        <xdr:cNvCxnSpPr>
          <a:cxnSpLocks noChangeShapeType="1"/>
          <a:stCxn id="7288091" idx="6"/>
          <a:endCxn id="7288090" idx="2"/>
        </xdr:cNvCxnSpPr>
      </xdr:nvCxnSpPr>
      <xdr:spPr bwMode="auto">
        <a:xfrm>
          <a:off x="10958513" y="34904363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110173</xdr:colOff>
      <xdr:row>142</xdr:row>
      <xdr:rowOff>1233</xdr:rowOff>
    </xdr:from>
    <xdr:ext cx="303673" cy="170560"/>
    <xdr:sp macro="" textlink="">
      <xdr:nvSpPr>
        <xdr:cNvPr id="10306" name="Text Box 66">
          <a:extLst>
            <a:ext uri="{FF2B5EF4-FFF2-40B4-BE49-F238E27FC236}">
              <a16:creationId xmlns:a16="http://schemas.microsoft.com/office/drawing/2014/main" id="{9D0BF436-002F-4ACF-923B-354FEAA95647}"/>
            </a:ext>
          </a:extLst>
        </xdr:cNvPr>
        <xdr:cNvSpPr txBox="1">
          <a:spLocks noChangeArrowheads="1"/>
        </xdr:cNvSpPr>
      </xdr:nvSpPr>
      <xdr:spPr bwMode="auto">
        <a:xfrm>
          <a:off x="11075129" y="3457138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1.1.6</a:t>
          </a:r>
        </a:p>
      </xdr:txBody>
    </xdr:sp>
    <xdr:clientData/>
  </xdr:oneCellAnchor>
  <xdr:twoCellAnchor>
    <xdr:from>
      <xdr:col>21</xdr:col>
      <xdr:colOff>2484</xdr:colOff>
      <xdr:row>133</xdr:row>
      <xdr:rowOff>152082</xdr:rowOff>
    </xdr:from>
    <xdr:to>
      <xdr:col>22</xdr:col>
      <xdr:colOff>61496</xdr:colOff>
      <xdr:row>135</xdr:row>
      <xdr:rowOff>72523</xdr:rowOff>
    </xdr:to>
    <xdr:sp macro="" textlink="">
      <xdr:nvSpPr>
        <xdr:cNvPr id="7288094" name="Oval 67">
          <a:extLst>
            <a:ext uri="{FF2B5EF4-FFF2-40B4-BE49-F238E27FC236}">
              <a16:creationId xmlns:a16="http://schemas.microsoft.com/office/drawing/2014/main" id="{6491E0F4-10FF-4B00-881F-8FE51EC2AB44}"/>
            </a:ext>
          </a:extLst>
        </xdr:cNvPr>
        <xdr:cNvSpPr>
          <a:spLocks noChangeArrowheads="1"/>
        </xdr:cNvSpPr>
      </xdr:nvSpPr>
      <xdr:spPr bwMode="auto">
        <a:xfrm>
          <a:off x="10706100" y="335026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17</xdr:col>
      <xdr:colOff>261</xdr:colOff>
      <xdr:row>133</xdr:row>
      <xdr:rowOff>152082</xdr:rowOff>
    </xdr:from>
    <xdr:to>
      <xdr:col>18</xdr:col>
      <xdr:colOff>34652</xdr:colOff>
      <xdr:row>135</xdr:row>
      <xdr:rowOff>72523</xdr:rowOff>
    </xdr:to>
    <xdr:sp macro="" textlink="">
      <xdr:nvSpPr>
        <xdr:cNvPr id="7288095" name="Oval 68">
          <a:extLst>
            <a:ext uri="{FF2B5EF4-FFF2-40B4-BE49-F238E27FC236}">
              <a16:creationId xmlns:a16="http://schemas.microsoft.com/office/drawing/2014/main" id="{D45785D0-5AEF-4F87-A87E-801A06A22ABF}"/>
            </a:ext>
          </a:extLst>
        </xdr:cNvPr>
        <xdr:cNvSpPr>
          <a:spLocks noChangeArrowheads="1"/>
        </xdr:cNvSpPr>
      </xdr:nvSpPr>
      <xdr:spPr bwMode="auto">
        <a:xfrm>
          <a:off x="9728200" y="33502600"/>
          <a:ext cx="292100" cy="2667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18</xdr:col>
      <xdr:colOff>38100</xdr:colOff>
      <xdr:row>134</xdr:row>
      <xdr:rowOff>95250</xdr:rowOff>
    </xdr:from>
    <xdr:to>
      <xdr:col>20</xdr:col>
      <xdr:colOff>366713</xdr:colOff>
      <xdr:row>134</xdr:row>
      <xdr:rowOff>95250</xdr:rowOff>
    </xdr:to>
    <xdr:cxnSp macro="">
      <xdr:nvCxnSpPr>
        <xdr:cNvPr id="8454228" name="AutoShape 69">
          <a:extLst>
            <a:ext uri="{FF2B5EF4-FFF2-40B4-BE49-F238E27FC236}">
              <a16:creationId xmlns:a16="http://schemas.microsoft.com/office/drawing/2014/main" id="{E3F3CB16-5514-4503-A3E7-FA0DC217E42C}"/>
            </a:ext>
          </a:extLst>
        </xdr:cNvPr>
        <xdr:cNvCxnSpPr>
          <a:cxnSpLocks noChangeShapeType="1"/>
          <a:stCxn id="7288095" idx="6"/>
          <a:endCxn id="7288094" idx="2"/>
        </xdr:cNvCxnSpPr>
      </xdr:nvCxnSpPr>
      <xdr:spPr bwMode="auto">
        <a:xfrm>
          <a:off x="9482138" y="33389888"/>
          <a:ext cx="61912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19</xdr:col>
      <xdr:colOff>38</xdr:colOff>
      <xdr:row>133</xdr:row>
      <xdr:rowOff>12832</xdr:rowOff>
    </xdr:from>
    <xdr:ext cx="303673" cy="170560"/>
    <xdr:sp macro="" textlink="">
      <xdr:nvSpPr>
        <xdr:cNvPr id="10310" name="Text Box 70">
          <a:extLst>
            <a:ext uri="{FF2B5EF4-FFF2-40B4-BE49-F238E27FC236}">
              <a16:creationId xmlns:a16="http://schemas.microsoft.com/office/drawing/2014/main" id="{3079CB2C-0261-4A8D-B682-9AFC76D6A0F3}"/>
            </a:ext>
          </a:extLst>
        </xdr:cNvPr>
        <xdr:cNvSpPr txBox="1">
          <a:spLocks noChangeArrowheads="1"/>
        </xdr:cNvSpPr>
      </xdr:nvSpPr>
      <xdr:spPr bwMode="auto">
        <a:xfrm>
          <a:off x="9687524" y="33120612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1.1.7</a:t>
          </a:r>
        </a:p>
      </xdr:txBody>
    </xdr:sp>
    <xdr:clientData/>
  </xdr:oneCellAnchor>
  <xdr:twoCellAnchor>
    <xdr:from>
      <xdr:col>16</xdr:col>
      <xdr:colOff>61913</xdr:colOff>
      <xdr:row>134</xdr:row>
      <xdr:rowOff>95250</xdr:rowOff>
    </xdr:from>
    <xdr:to>
      <xdr:col>16</xdr:col>
      <xdr:colOff>347663</xdr:colOff>
      <xdr:row>177</xdr:row>
      <xdr:rowOff>23813</xdr:rowOff>
    </xdr:to>
    <xdr:cxnSp macro="">
      <xdr:nvCxnSpPr>
        <xdr:cNvPr id="8454230" name="AutoShape 71">
          <a:extLst>
            <a:ext uri="{FF2B5EF4-FFF2-40B4-BE49-F238E27FC236}">
              <a16:creationId xmlns:a16="http://schemas.microsoft.com/office/drawing/2014/main" id="{0913F714-2CD5-4590-9599-C767B1C704F0}"/>
            </a:ext>
          </a:extLst>
        </xdr:cNvPr>
        <xdr:cNvCxnSpPr>
          <a:cxnSpLocks noChangeShapeType="1"/>
          <a:stCxn id="7288053" idx="0"/>
          <a:endCxn id="7288095" idx="2"/>
        </xdr:cNvCxnSpPr>
      </xdr:nvCxnSpPr>
      <xdr:spPr bwMode="auto">
        <a:xfrm rot="-5400000">
          <a:off x="5686425" y="36752213"/>
          <a:ext cx="6891337" cy="1666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125</xdr:row>
      <xdr:rowOff>95250</xdr:rowOff>
    </xdr:from>
    <xdr:to>
      <xdr:col>23</xdr:col>
      <xdr:colOff>271463</xdr:colOff>
      <xdr:row>133</xdr:row>
      <xdr:rowOff>152400</xdr:rowOff>
    </xdr:to>
    <xdr:cxnSp macro="">
      <xdr:nvCxnSpPr>
        <xdr:cNvPr id="8454231" name="AutoShape 72">
          <a:extLst>
            <a:ext uri="{FF2B5EF4-FFF2-40B4-BE49-F238E27FC236}">
              <a16:creationId xmlns:a16="http://schemas.microsoft.com/office/drawing/2014/main" id="{B231C460-55A7-4A2B-B551-E2175A484CA5}"/>
            </a:ext>
          </a:extLst>
        </xdr:cNvPr>
        <xdr:cNvCxnSpPr>
          <a:cxnSpLocks noChangeShapeType="1"/>
          <a:stCxn id="7288094" idx="0"/>
          <a:endCxn id="7288071" idx="2"/>
        </xdr:cNvCxnSpPr>
      </xdr:nvCxnSpPr>
      <xdr:spPr bwMode="auto">
        <a:xfrm rot="-5400000">
          <a:off x="9848850" y="32389763"/>
          <a:ext cx="1352550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129</xdr:row>
      <xdr:rowOff>23813</xdr:rowOff>
    </xdr:from>
    <xdr:to>
      <xdr:col>23</xdr:col>
      <xdr:colOff>271463</xdr:colOff>
      <xdr:row>133</xdr:row>
      <xdr:rowOff>152400</xdr:rowOff>
    </xdr:to>
    <xdr:cxnSp macro="">
      <xdr:nvCxnSpPr>
        <xdr:cNvPr id="8454232" name="AutoShape 73">
          <a:extLst>
            <a:ext uri="{FF2B5EF4-FFF2-40B4-BE49-F238E27FC236}">
              <a16:creationId xmlns:a16="http://schemas.microsoft.com/office/drawing/2014/main" id="{371FF7CC-4E09-496A-95B7-27AD14510FE3}"/>
            </a:ext>
          </a:extLst>
        </xdr:cNvPr>
        <xdr:cNvCxnSpPr>
          <a:cxnSpLocks noChangeShapeType="1"/>
          <a:stCxn id="7288094" idx="0"/>
          <a:endCxn id="7288075" idx="2"/>
        </xdr:cNvCxnSpPr>
      </xdr:nvCxnSpPr>
      <xdr:spPr bwMode="auto">
        <a:xfrm rot="-5400000">
          <a:off x="10136981" y="32677894"/>
          <a:ext cx="776288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132</xdr:row>
      <xdr:rowOff>228600</xdr:rowOff>
    </xdr:from>
    <xdr:to>
      <xdr:col>23</xdr:col>
      <xdr:colOff>271463</xdr:colOff>
      <xdr:row>133</xdr:row>
      <xdr:rowOff>152400</xdr:rowOff>
    </xdr:to>
    <xdr:cxnSp macro="">
      <xdr:nvCxnSpPr>
        <xdr:cNvPr id="8454233" name="AutoShape 74">
          <a:extLst>
            <a:ext uri="{FF2B5EF4-FFF2-40B4-BE49-F238E27FC236}">
              <a16:creationId xmlns:a16="http://schemas.microsoft.com/office/drawing/2014/main" id="{0E699BD5-84DC-4DD2-9269-9F8E3C8D0EAE}"/>
            </a:ext>
          </a:extLst>
        </xdr:cNvPr>
        <xdr:cNvCxnSpPr>
          <a:cxnSpLocks noChangeShapeType="1"/>
          <a:stCxn id="7288094" idx="0"/>
          <a:endCxn id="7288079" idx="2"/>
        </xdr:cNvCxnSpPr>
      </xdr:nvCxnSpPr>
      <xdr:spPr bwMode="auto">
        <a:xfrm rot="-5400000">
          <a:off x="10448925" y="32989838"/>
          <a:ext cx="152400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135</xdr:row>
      <xdr:rowOff>57150</xdr:rowOff>
    </xdr:from>
    <xdr:to>
      <xdr:col>23</xdr:col>
      <xdr:colOff>271463</xdr:colOff>
      <xdr:row>136</xdr:row>
      <xdr:rowOff>23813</xdr:rowOff>
    </xdr:to>
    <xdr:cxnSp macro="">
      <xdr:nvCxnSpPr>
        <xdr:cNvPr id="8454234" name="AutoShape 75">
          <a:extLst>
            <a:ext uri="{FF2B5EF4-FFF2-40B4-BE49-F238E27FC236}">
              <a16:creationId xmlns:a16="http://schemas.microsoft.com/office/drawing/2014/main" id="{5D4DE032-B3A8-46E5-8253-F9F55DD7F348}"/>
            </a:ext>
          </a:extLst>
        </xdr:cNvPr>
        <xdr:cNvCxnSpPr>
          <a:cxnSpLocks noChangeShapeType="1"/>
          <a:stCxn id="7288094" idx="4"/>
          <a:endCxn id="7288083" idx="2"/>
        </xdr:cNvCxnSpPr>
      </xdr:nvCxnSpPr>
      <xdr:spPr bwMode="auto">
        <a:xfrm rot="16200000" flipH="1">
          <a:off x="10460831" y="33358932"/>
          <a:ext cx="128587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Dot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135</xdr:row>
      <xdr:rowOff>57150</xdr:rowOff>
    </xdr:from>
    <xdr:to>
      <xdr:col>23</xdr:col>
      <xdr:colOff>271463</xdr:colOff>
      <xdr:row>139</xdr:row>
      <xdr:rowOff>204788</xdr:rowOff>
    </xdr:to>
    <xdr:cxnSp macro="">
      <xdr:nvCxnSpPr>
        <xdr:cNvPr id="8454235" name="AutoShape 76">
          <a:extLst>
            <a:ext uri="{FF2B5EF4-FFF2-40B4-BE49-F238E27FC236}">
              <a16:creationId xmlns:a16="http://schemas.microsoft.com/office/drawing/2014/main" id="{ADF01401-42F5-4569-8ADF-9B28FE78E65A}"/>
            </a:ext>
          </a:extLst>
        </xdr:cNvPr>
        <xdr:cNvCxnSpPr>
          <a:cxnSpLocks noChangeShapeType="1"/>
          <a:stCxn id="7288094" idx="4"/>
          <a:endCxn id="7288087" idx="2"/>
        </xdr:cNvCxnSpPr>
      </xdr:nvCxnSpPr>
      <xdr:spPr bwMode="auto">
        <a:xfrm rot="16200000" flipH="1">
          <a:off x="10148887" y="33670876"/>
          <a:ext cx="752475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204788</xdr:colOff>
      <xdr:row>135</xdr:row>
      <xdr:rowOff>57150</xdr:rowOff>
    </xdr:from>
    <xdr:to>
      <xdr:col>23</xdr:col>
      <xdr:colOff>271463</xdr:colOff>
      <xdr:row>143</xdr:row>
      <xdr:rowOff>152400</xdr:rowOff>
    </xdr:to>
    <xdr:cxnSp macro="">
      <xdr:nvCxnSpPr>
        <xdr:cNvPr id="8454236" name="AutoShape 77">
          <a:extLst>
            <a:ext uri="{FF2B5EF4-FFF2-40B4-BE49-F238E27FC236}">
              <a16:creationId xmlns:a16="http://schemas.microsoft.com/office/drawing/2014/main" id="{979F39A3-FDDF-4910-B544-A56C29BE5312}"/>
            </a:ext>
          </a:extLst>
        </xdr:cNvPr>
        <xdr:cNvCxnSpPr>
          <a:cxnSpLocks noChangeShapeType="1"/>
          <a:stCxn id="7288094" idx="4"/>
          <a:endCxn id="7288091" idx="2"/>
        </xdr:cNvCxnSpPr>
      </xdr:nvCxnSpPr>
      <xdr:spPr bwMode="auto">
        <a:xfrm rot="16200000" flipH="1">
          <a:off x="9829800" y="33989963"/>
          <a:ext cx="1390650" cy="438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28</xdr:col>
      <xdr:colOff>1214</xdr:colOff>
      <xdr:row>157</xdr:row>
      <xdr:rowOff>136525</xdr:rowOff>
    </xdr:from>
    <xdr:to>
      <xdr:col>29</xdr:col>
      <xdr:colOff>10722</xdr:colOff>
      <xdr:row>159</xdr:row>
      <xdr:rowOff>14412</xdr:rowOff>
    </xdr:to>
    <xdr:sp macro="" textlink="">
      <xdr:nvSpPr>
        <xdr:cNvPr id="7288105" name="Oval 78">
          <a:extLst>
            <a:ext uri="{FF2B5EF4-FFF2-40B4-BE49-F238E27FC236}">
              <a16:creationId xmlns:a16="http://schemas.microsoft.com/office/drawing/2014/main" id="{45A6556E-C564-45B1-AFDF-67F03B296168}"/>
            </a:ext>
          </a:extLst>
        </xdr:cNvPr>
        <xdr:cNvSpPr>
          <a:spLocks noChangeArrowheads="1"/>
        </xdr:cNvSpPr>
      </xdr:nvSpPr>
      <xdr:spPr bwMode="auto">
        <a:xfrm>
          <a:off x="12280900" y="374523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157</xdr:row>
      <xdr:rowOff>136525</xdr:rowOff>
    </xdr:from>
    <xdr:to>
      <xdr:col>25</xdr:col>
      <xdr:colOff>10778</xdr:colOff>
      <xdr:row>159</xdr:row>
      <xdr:rowOff>14412</xdr:rowOff>
    </xdr:to>
    <xdr:sp macro="" textlink="">
      <xdr:nvSpPr>
        <xdr:cNvPr id="7288106" name="Oval 79">
          <a:extLst>
            <a:ext uri="{FF2B5EF4-FFF2-40B4-BE49-F238E27FC236}">
              <a16:creationId xmlns:a16="http://schemas.microsoft.com/office/drawing/2014/main" id="{A1EF5303-310A-42DB-8BD7-4D81F9B43318}"/>
            </a:ext>
          </a:extLst>
        </xdr:cNvPr>
        <xdr:cNvSpPr>
          <a:spLocks noChangeArrowheads="1"/>
        </xdr:cNvSpPr>
      </xdr:nvSpPr>
      <xdr:spPr bwMode="auto">
        <a:xfrm>
          <a:off x="11353800" y="374523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357188</xdr:colOff>
      <xdr:row>158</xdr:row>
      <xdr:rowOff>95250</xdr:rowOff>
    </xdr:from>
    <xdr:to>
      <xdr:col>27</xdr:col>
      <xdr:colOff>285750</xdr:colOff>
      <xdr:row>158</xdr:row>
      <xdr:rowOff>95250</xdr:rowOff>
    </xdr:to>
    <xdr:cxnSp macro="">
      <xdr:nvCxnSpPr>
        <xdr:cNvPr id="8454239" name="AutoShape 80">
          <a:extLst>
            <a:ext uri="{FF2B5EF4-FFF2-40B4-BE49-F238E27FC236}">
              <a16:creationId xmlns:a16="http://schemas.microsoft.com/office/drawing/2014/main" id="{E62D06DF-3E15-475D-B6E5-F00F7E7EB021}"/>
            </a:ext>
          </a:extLst>
        </xdr:cNvPr>
        <xdr:cNvCxnSpPr>
          <a:cxnSpLocks noChangeShapeType="1"/>
          <a:stCxn id="7288106" idx="6"/>
          <a:endCxn id="7288105" idx="2"/>
        </xdr:cNvCxnSpPr>
      </xdr:nvCxnSpPr>
      <xdr:spPr bwMode="auto">
        <a:xfrm>
          <a:off x="10958513" y="37276088"/>
          <a:ext cx="642937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110173</xdr:colOff>
      <xdr:row>157</xdr:row>
      <xdr:rowOff>3270</xdr:rowOff>
    </xdr:from>
    <xdr:ext cx="303673" cy="170560"/>
    <xdr:sp macro="" textlink="">
      <xdr:nvSpPr>
        <xdr:cNvPr id="10321" name="Text Box 81">
          <a:extLst>
            <a:ext uri="{FF2B5EF4-FFF2-40B4-BE49-F238E27FC236}">
              <a16:creationId xmlns:a16="http://schemas.microsoft.com/office/drawing/2014/main" id="{452BEC89-CFD7-4C1B-80E8-6FC9D538427D}"/>
            </a:ext>
          </a:extLst>
        </xdr:cNvPr>
        <xdr:cNvSpPr txBox="1">
          <a:spLocks noChangeArrowheads="1"/>
        </xdr:cNvSpPr>
      </xdr:nvSpPr>
      <xdr:spPr bwMode="auto">
        <a:xfrm>
          <a:off x="11075129" y="37010697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1.2.1</a:t>
          </a:r>
        </a:p>
      </xdr:txBody>
    </xdr:sp>
    <xdr:clientData/>
  </xdr:oneCellAnchor>
  <xdr:twoCellAnchor>
    <xdr:from>
      <xdr:col>31</xdr:col>
      <xdr:colOff>119063</xdr:colOff>
      <xdr:row>157</xdr:row>
      <xdr:rowOff>136525</xdr:rowOff>
    </xdr:from>
    <xdr:to>
      <xdr:col>32</xdr:col>
      <xdr:colOff>175516</xdr:colOff>
      <xdr:row>159</xdr:row>
      <xdr:rowOff>14412</xdr:rowOff>
    </xdr:to>
    <xdr:sp macro="" textlink="">
      <xdr:nvSpPr>
        <xdr:cNvPr id="7288109" name="Oval 82">
          <a:extLst>
            <a:ext uri="{FF2B5EF4-FFF2-40B4-BE49-F238E27FC236}">
              <a16:creationId xmlns:a16="http://schemas.microsoft.com/office/drawing/2014/main" id="{22217D2C-BAB7-476F-87FD-604A04D6F5D4}"/>
            </a:ext>
          </a:extLst>
        </xdr:cNvPr>
        <xdr:cNvSpPr>
          <a:spLocks noChangeArrowheads="1"/>
        </xdr:cNvSpPr>
      </xdr:nvSpPr>
      <xdr:spPr bwMode="auto">
        <a:xfrm>
          <a:off x="13068300" y="37452300"/>
          <a:ext cx="3175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366713</xdr:colOff>
      <xdr:row>158</xdr:row>
      <xdr:rowOff>95250</xdr:rowOff>
    </xdr:from>
    <xdr:to>
      <xdr:col>31</xdr:col>
      <xdr:colOff>109538</xdr:colOff>
      <xdr:row>158</xdr:row>
      <xdr:rowOff>95250</xdr:rowOff>
    </xdr:to>
    <xdr:cxnSp macro="">
      <xdr:nvCxnSpPr>
        <xdr:cNvPr id="8454242" name="AutoShape 83">
          <a:extLst>
            <a:ext uri="{FF2B5EF4-FFF2-40B4-BE49-F238E27FC236}">
              <a16:creationId xmlns:a16="http://schemas.microsoft.com/office/drawing/2014/main" id="{D6F3C07F-CD2D-48B0-BF7B-3A77937BED39}"/>
            </a:ext>
          </a:extLst>
        </xdr:cNvPr>
        <xdr:cNvCxnSpPr>
          <a:cxnSpLocks noChangeShapeType="1"/>
          <a:stCxn id="7288105" idx="6"/>
          <a:endCxn id="7288109" idx="2"/>
        </xdr:cNvCxnSpPr>
      </xdr:nvCxnSpPr>
      <xdr:spPr bwMode="auto">
        <a:xfrm>
          <a:off x="11815763" y="37276088"/>
          <a:ext cx="53816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148273</xdr:colOff>
      <xdr:row>157</xdr:row>
      <xdr:rowOff>1083</xdr:rowOff>
    </xdr:from>
    <xdr:ext cx="303673" cy="170560"/>
    <xdr:sp macro="" textlink="">
      <xdr:nvSpPr>
        <xdr:cNvPr id="10324" name="Text Box 84">
          <a:extLst>
            <a:ext uri="{FF2B5EF4-FFF2-40B4-BE49-F238E27FC236}">
              <a16:creationId xmlns:a16="http://schemas.microsoft.com/office/drawing/2014/main" id="{A64DFA0E-0974-4D3F-BC88-36198E45F253}"/>
            </a:ext>
          </a:extLst>
        </xdr:cNvPr>
        <xdr:cNvSpPr txBox="1">
          <a:spLocks noChangeArrowheads="1"/>
        </xdr:cNvSpPr>
      </xdr:nvSpPr>
      <xdr:spPr bwMode="auto">
        <a:xfrm>
          <a:off x="11964877" y="3700851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1.2.2</a:t>
          </a:r>
        </a:p>
      </xdr:txBody>
    </xdr:sp>
    <xdr:clientData/>
  </xdr:oneCellAnchor>
  <xdr:twoCellAnchor>
    <xdr:from>
      <xdr:col>34</xdr:col>
      <xdr:colOff>193992</xdr:colOff>
      <xdr:row>157</xdr:row>
      <xdr:rowOff>136525</xdr:rowOff>
    </xdr:from>
    <xdr:to>
      <xdr:col>36</xdr:col>
      <xdr:colOff>1759</xdr:colOff>
      <xdr:row>159</xdr:row>
      <xdr:rowOff>14412</xdr:rowOff>
    </xdr:to>
    <xdr:sp macro="" textlink="">
      <xdr:nvSpPr>
        <xdr:cNvPr id="7288112" name="Oval 85">
          <a:extLst>
            <a:ext uri="{FF2B5EF4-FFF2-40B4-BE49-F238E27FC236}">
              <a16:creationId xmlns:a16="http://schemas.microsoft.com/office/drawing/2014/main" id="{90C8C258-783B-4CC3-87AF-E6C3BB5B3AFF}"/>
            </a:ext>
          </a:extLst>
        </xdr:cNvPr>
        <xdr:cNvSpPr>
          <a:spLocks noChangeArrowheads="1"/>
        </xdr:cNvSpPr>
      </xdr:nvSpPr>
      <xdr:spPr bwMode="auto">
        <a:xfrm>
          <a:off x="13931900" y="374523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32</xdr:col>
      <xdr:colOff>176213</xdr:colOff>
      <xdr:row>158</xdr:row>
      <xdr:rowOff>95250</xdr:rowOff>
    </xdr:from>
    <xdr:to>
      <xdr:col>34</xdr:col>
      <xdr:colOff>209550</xdr:colOff>
      <xdr:row>158</xdr:row>
      <xdr:rowOff>95250</xdr:rowOff>
    </xdr:to>
    <xdr:cxnSp macro="">
      <xdr:nvCxnSpPr>
        <xdr:cNvPr id="8454245" name="AutoShape 86">
          <a:extLst>
            <a:ext uri="{FF2B5EF4-FFF2-40B4-BE49-F238E27FC236}">
              <a16:creationId xmlns:a16="http://schemas.microsoft.com/office/drawing/2014/main" id="{FA3AA494-706C-4E19-8E02-3AE0F8DA7908}"/>
            </a:ext>
          </a:extLst>
        </xdr:cNvPr>
        <xdr:cNvCxnSpPr>
          <a:cxnSpLocks noChangeShapeType="1"/>
          <a:stCxn id="7288109" idx="6"/>
          <a:endCxn id="7288112" idx="2"/>
        </xdr:cNvCxnSpPr>
      </xdr:nvCxnSpPr>
      <xdr:spPr bwMode="auto">
        <a:xfrm>
          <a:off x="12668250" y="37276088"/>
          <a:ext cx="528638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33</xdr:col>
      <xdr:colOff>1550</xdr:colOff>
      <xdr:row>157</xdr:row>
      <xdr:rowOff>9021</xdr:rowOff>
    </xdr:from>
    <xdr:ext cx="303673" cy="170560"/>
    <xdr:sp macro="" textlink="">
      <xdr:nvSpPr>
        <xdr:cNvPr id="10327" name="Text Box 87">
          <a:extLst>
            <a:ext uri="{FF2B5EF4-FFF2-40B4-BE49-F238E27FC236}">
              <a16:creationId xmlns:a16="http://schemas.microsoft.com/office/drawing/2014/main" id="{82AF1412-33DD-4262-BAD6-39847FED545F}"/>
            </a:ext>
          </a:extLst>
        </xdr:cNvPr>
        <xdr:cNvSpPr txBox="1">
          <a:spLocks noChangeArrowheads="1"/>
        </xdr:cNvSpPr>
      </xdr:nvSpPr>
      <xdr:spPr bwMode="auto">
        <a:xfrm>
          <a:off x="12737036" y="3701644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1.2.3</a:t>
          </a:r>
        </a:p>
      </xdr:txBody>
    </xdr:sp>
    <xdr:clientData/>
  </xdr:oneCellAnchor>
  <xdr:twoCellAnchor>
    <xdr:from>
      <xdr:col>38</xdr:col>
      <xdr:colOff>78423</xdr:colOff>
      <xdr:row>157</xdr:row>
      <xdr:rowOff>136525</xdr:rowOff>
    </xdr:from>
    <xdr:to>
      <xdr:col>39</xdr:col>
      <xdr:colOff>132806</xdr:colOff>
      <xdr:row>159</xdr:row>
      <xdr:rowOff>14412</xdr:rowOff>
    </xdr:to>
    <xdr:sp macro="" textlink="">
      <xdr:nvSpPr>
        <xdr:cNvPr id="7288115" name="Oval 88">
          <a:extLst>
            <a:ext uri="{FF2B5EF4-FFF2-40B4-BE49-F238E27FC236}">
              <a16:creationId xmlns:a16="http://schemas.microsoft.com/office/drawing/2014/main" id="{46C96C86-E60E-44CC-9DE7-A660D1D83417}"/>
            </a:ext>
          </a:extLst>
        </xdr:cNvPr>
        <xdr:cNvSpPr>
          <a:spLocks noChangeArrowheads="1"/>
        </xdr:cNvSpPr>
      </xdr:nvSpPr>
      <xdr:spPr bwMode="auto">
        <a:xfrm>
          <a:off x="14909800" y="374523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35</xdr:col>
      <xdr:colOff>257175</xdr:colOff>
      <xdr:row>158</xdr:row>
      <xdr:rowOff>95250</xdr:rowOff>
    </xdr:from>
    <xdr:to>
      <xdr:col>38</xdr:col>
      <xdr:colOff>80963</xdr:colOff>
      <xdr:row>158</xdr:row>
      <xdr:rowOff>95250</xdr:rowOff>
    </xdr:to>
    <xdr:cxnSp macro="">
      <xdr:nvCxnSpPr>
        <xdr:cNvPr id="8454248" name="AutoShape 89">
          <a:extLst>
            <a:ext uri="{FF2B5EF4-FFF2-40B4-BE49-F238E27FC236}">
              <a16:creationId xmlns:a16="http://schemas.microsoft.com/office/drawing/2014/main" id="{BBA449C6-1969-449D-9756-97A1580829D6}"/>
            </a:ext>
          </a:extLst>
        </xdr:cNvPr>
        <xdr:cNvCxnSpPr>
          <a:cxnSpLocks noChangeShapeType="1"/>
          <a:stCxn id="7288112" idx="6"/>
          <a:endCxn id="7288115" idx="2"/>
        </xdr:cNvCxnSpPr>
      </xdr:nvCxnSpPr>
      <xdr:spPr bwMode="auto">
        <a:xfrm>
          <a:off x="13482638" y="37276088"/>
          <a:ext cx="576262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36</xdr:col>
      <xdr:colOff>112396</xdr:colOff>
      <xdr:row>157</xdr:row>
      <xdr:rowOff>448</xdr:rowOff>
    </xdr:from>
    <xdr:ext cx="303673" cy="170560"/>
    <xdr:sp macro="" textlink="">
      <xdr:nvSpPr>
        <xdr:cNvPr id="10330" name="Text Box 90">
          <a:extLst>
            <a:ext uri="{FF2B5EF4-FFF2-40B4-BE49-F238E27FC236}">
              <a16:creationId xmlns:a16="http://schemas.microsoft.com/office/drawing/2014/main" id="{88336765-BACC-48C4-9DD6-001E41160B05}"/>
            </a:ext>
          </a:extLst>
        </xdr:cNvPr>
        <xdr:cNvSpPr txBox="1">
          <a:spLocks noChangeArrowheads="1"/>
        </xdr:cNvSpPr>
      </xdr:nvSpPr>
      <xdr:spPr bwMode="auto">
        <a:xfrm>
          <a:off x="13587470" y="3700787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1.2.4</a:t>
          </a:r>
        </a:p>
      </xdr:txBody>
    </xdr:sp>
    <xdr:clientData/>
  </xdr:oneCellAnchor>
  <xdr:twoCellAnchor>
    <xdr:from>
      <xdr:col>21</xdr:col>
      <xdr:colOff>1849</xdr:colOff>
      <xdr:row>157</xdr:row>
      <xdr:rowOff>93980</xdr:rowOff>
    </xdr:from>
    <xdr:to>
      <xdr:col>22</xdr:col>
      <xdr:colOff>61708</xdr:colOff>
      <xdr:row>159</xdr:row>
      <xdr:rowOff>13988</xdr:rowOff>
    </xdr:to>
    <xdr:sp macro="" textlink="">
      <xdr:nvSpPr>
        <xdr:cNvPr id="7288118" name="Oval 91">
          <a:extLst>
            <a:ext uri="{FF2B5EF4-FFF2-40B4-BE49-F238E27FC236}">
              <a16:creationId xmlns:a16="http://schemas.microsoft.com/office/drawing/2014/main" id="{2012E647-3AA7-4E6E-B500-9DA7CDCA2A7A}"/>
            </a:ext>
          </a:extLst>
        </xdr:cNvPr>
        <xdr:cNvSpPr>
          <a:spLocks noChangeArrowheads="1"/>
        </xdr:cNvSpPr>
      </xdr:nvSpPr>
      <xdr:spPr bwMode="auto">
        <a:xfrm>
          <a:off x="10668000" y="374269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17</xdr:col>
      <xdr:colOff>3212</xdr:colOff>
      <xdr:row>157</xdr:row>
      <xdr:rowOff>93980</xdr:rowOff>
    </xdr:from>
    <xdr:to>
      <xdr:col>18</xdr:col>
      <xdr:colOff>35567</xdr:colOff>
      <xdr:row>159</xdr:row>
      <xdr:rowOff>13988</xdr:rowOff>
    </xdr:to>
    <xdr:sp macro="" textlink="">
      <xdr:nvSpPr>
        <xdr:cNvPr id="7288119" name="Oval 92">
          <a:extLst>
            <a:ext uri="{FF2B5EF4-FFF2-40B4-BE49-F238E27FC236}">
              <a16:creationId xmlns:a16="http://schemas.microsoft.com/office/drawing/2014/main" id="{BC4C296A-66A6-4D8A-96C9-7A5771030D4B}"/>
            </a:ext>
          </a:extLst>
        </xdr:cNvPr>
        <xdr:cNvSpPr>
          <a:spLocks noChangeArrowheads="1"/>
        </xdr:cNvSpPr>
      </xdr:nvSpPr>
      <xdr:spPr bwMode="auto">
        <a:xfrm>
          <a:off x="9740900" y="37426900"/>
          <a:ext cx="292100" cy="2794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18</xdr:col>
      <xdr:colOff>61913</xdr:colOff>
      <xdr:row>158</xdr:row>
      <xdr:rowOff>57150</xdr:rowOff>
    </xdr:from>
    <xdr:to>
      <xdr:col>20</xdr:col>
      <xdr:colOff>271463</xdr:colOff>
      <xdr:row>158</xdr:row>
      <xdr:rowOff>57150</xdr:rowOff>
    </xdr:to>
    <xdr:cxnSp macro="">
      <xdr:nvCxnSpPr>
        <xdr:cNvPr id="8454252" name="AutoShape 93">
          <a:extLst>
            <a:ext uri="{FF2B5EF4-FFF2-40B4-BE49-F238E27FC236}">
              <a16:creationId xmlns:a16="http://schemas.microsoft.com/office/drawing/2014/main" id="{991E7B48-F4BF-4735-A6D7-0AD9B918EEAB}"/>
            </a:ext>
          </a:extLst>
        </xdr:cNvPr>
        <xdr:cNvCxnSpPr>
          <a:cxnSpLocks noChangeShapeType="1"/>
          <a:stCxn id="7288119" idx="6"/>
          <a:endCxn id="7288118" idx="2"/>
        </xdr:cNvCxnSpPr>
      </xdr:nvCxnSpPr>
      <xdr:spPr bwMode="auto">
        <a:xfrm>
          <a:off x="9505950" y="37237988"/>
          <a:ext cx="595313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19</xdr:col>
      <xdr:colOff>38</xdr:colOff>
      <xdr:row>157</xdr:row>
      <xdr:rowOff>8985</xdr:rowOff>
    </xdr:from>
    <xdr:ext cx="303673" cy="170560"/>
    <xdr:sp macro="" textlink="">
      <xdr:nvSpPr>
        <xdr:cNvPr id="10334" name="Text Box 94">
          <a:extLst>
            <a:ext uri="{FF2B5EF4-FFF2-40B4-BE49-F238E27FC236}">
              <a16:creationId xmlns:a16="http://schemas.microsoft.com/office/drawing/2014/main" id="{FF25C186-98D1-4E79-9A18-D42C5CF1E843}"/>
            </a:ext>
          </a:extLst>
        </xdr:cNvPr>
        <xdr:cNvSpPr txBox="1">
          <a:spLocks noChangeArrowheads="1"/>
        </xdr:cNvSpPr>
      </xdr:nvSpPr>
      <xdr:spPr bwMode="auto">
        <a:xfrm>
          <a:off x="9687524" y="37016412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1.2.5</a:t>
          </a:r>
        </a:p>
      </xdr:txBody>
    </xdr:sp>
    <xdr:clientData/>
  </xdr:oneCellAnchor>
  <xdr:twoCellAnchor>
    <xdr:from>
      <xdr:col>16</xdr:col>
      <xdr:colOff>61913</xdr:colOff>
      <xdr:row>158</xdr:row>
      <xdr:rowOff>57150</xdr:rowOff>
    </xdr:from>
    <xdr:to>
      <xdr:col>16</xdr:col>
      <xdr:colOff>371475</xdr:colOff>
      <xdr:row>177</xdr:row>
      <xdr:rowOff>23813</xdr:rowOff>
    </xdr:to>
    <xdr:cxnSp macro="">
      <xdr:nvCxnSpPr>
        <xdr:cNvPr id="8454254" name="AutoShape 95">
          <a:extLst>
            <a:ext uri="{FF2B5EF4-FFF2-40B4-BE49-F238E27FC236}">
              <a16:creationId xmlns:a16="http://schemas.microsoft.com/office/drawing/2014/main" id="{0804F89E-C7CB-45D0-8BF1-D56F320B8C2B}"/>
            </a:ext>
          </a:extLst>
        </xdr:cNvPr>
        <xdr:cNvCxnSpPr>
          <a:cxnSpLocks noChangeShapeType="1"/>
          <a:stCxn id="7288053" idx="0"/>
          <a:endCxn id="7288119" idx="2"/>
        </xdr:cNvCxnSpPr>
      </xdr:nvCxnSpPr>
      <xdr:spPr bwMode="auto">
        <a:xfrm rot="-5400000">
          <a:off x="7610475" y="38676263"/>
          <a:ext cx="3043237" cy="1666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33338</xdr:colOff>
      <xdr:row>178</xdr:row>
      <xdr:rowOff>152400</xdr:rowOff>
    </xdr:from>
    <xdr:to>
      <xdr:col>12</xdr:col>
      <xdr:colOff>33338</xdr:colOff>
      <xdr:row>184</xdr:row>
      <xdr:rowOff>228600</xdr:rowOff>
    </xdr:to>
    <xdr:cxnSp macro="">
      <xdr:nvCxnSpPr>
        <xdr:cNvPr id="8454255" name="AutoShape 96">
          <a:extLst>
            <a:ext uri="{FF2B5EF4-FFF2-40B4-BE49-F238E27FC236}">
              <a16:creationId xmlns:a16="http://schemas.microsoft.com/office/drawing/2014/main" id="{D4A8EC1F-15F2-4299-B39C-C9CF07E78E6D}"/>
            </a:ext>
          </a:extLst>
        </xdr:cNvPr>
        <xdr:cNvCxnSpPr>
          <a:cxnSpLocks noChangeShapeType="1"/>
          <a:stCxn id="7288063" idx="4"/>
          <a:endCxn id="7288028" idx="0"/>
        </xdr:cNvCxnSpPr>
      </xdr:nvCxnSpPr>
      <xdr:spPr bwMode="auto">
        <a:xfrm>
          <a:off x="8220075" y="40571738"/>
          <a:ext cx="0" cy="9810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</xdr:col>
      <xdr:colOff>2951</xdr:colOff>
      <xdr:row>198</xdr:row>
      <xdr:rowOff>113982</xdr:rowOff>
    </xdr:from>
    <xdr:to>
      <xdr:col>13</xdr:col>
      <xdr:colOff>1539</xdr:colOff>
      <xdr:row>199</xdr:row>
      <xdr:rowOff>151337</xdr:rowOff>
    </xdr:to>
    <xdr:sp macro="" textlink="">
      <xdr:nvSpPr>
        <xdr:cNvPr id="7288124" name="Oval 97">
          <a:extLst>
            <a:ext uri="{FF2B5EF4-FFF2-40B4-BE49-F238E27FC236}">
              <a16:creationId xmlns:a16="http://schemas.microsoft.com/office/drawing/2014/main" id="{D8293CFF-506D-4AA2-BF76-D6F9DBAA404B}"/>
            </a:ext>
          </a:extLst>
        </xdr:cNvPr>
        <xdr:cNvSpPr>
          <a:spLocks noChangeArrowheads="1"/>
        </xdr:cNvSpPr>
      </xdr:nvSpPr>
      <xdr:spPr bwMode="auto">
        <a:xfrm>
          <a:off x="8636000" y="441960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7</xdr:col>
      <xdr:colOff>165417</xdr:colOff>
      <xdr:row>198</xdr:row>
      <xdr:rowOff>113982</xdr:rowOff>
    </xdr:from>
    <xdr:to>
      <xdr:col>9</xdr:col>
      <xdr:colOff>6856</xdr:colOff>
      <xdr:row>199</xdr:row>
      <xdr:rowOff>151337</xdr:rowOff>
    </xdr:to>
    <xdr:sp macro="" textlink="">
      <xdr:nvSpPr>
        <xdr:cNvPr id="7288125" name="Oval 98">
          <a:extLst>
            <a:ext uri="{FF2B5EF4-FFF2-40B4-BE49-F238E27FC236}">
              <a16:creationId xmlns:a16="http://schemas.microsoft.com/office/drawing/2014/main" id="{7C48BDDE-6CB3-43FE-9306-41B6D0B28BF0}"/>
            </a:ext>
          </a:extLst>
        </xdr:cNvPr>
        <xdr:cNvSpPr>
          <a:spLocks noChangeArrowheads="1"/>
        </xdr:cNvSpPr>
      </xdr:nvSpPr>
      <xdr:spPr bwMode="auto">
        <a:xfrm>
          <a:off x="7759700" y="441960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238125</xdr:colOff>
      <xdr:row>199</xdr:row>
      <xdr:rowOff>23813</xdr:rowOff>
    </xdr:from>
    <xdr:to>
      <xdr:col>11</xdr:col>
      <xdr:colOff>261938</xdr:colOff>
      <xdr:row>199</xdr:row>
      <xdr:rowOff>23813</xdr:rowOff>
    </xdr:to>
    <xdr:cxnSp macro="">
      <xdr:nvCxnSpPr>
        <xdr:cNvPr id="8454258" name="AutoShape 99">
          <a:extLst>
            <a:ext uri="{FF2B5EF4-FFF2-40B4-BE49-F238E27FC236}">
              <a16:creationId xmlns:a16="http://schemas.microsoft.com/office/drawing/2014/main" id="{78625535-3F26-4BB9-B307-9FCC048C556D}"/>
            </a:ext>
          </a:extLst>
        </xdr:cNvPr>
        <xdr:cNvCxnSpPr>
          <a:cxnSpLocks noChangeShapeType="1"/>
          <a:stCxn id="7288125" idx="6"/>
          <a:endCxn id="7288124" idx="2"/>
        </xdr:cNvCxnSpPr>
      </xdr:nvCxnSpPr>
      <xdr:spPr bwMode="auto">
        <a:xfrm>
          <a:off x="7586663" y="43843575"/>
          <a:ext cx="6000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60961</xdr:colOff>
      <xdr:row>198</xdr:row>
      <xdr:rowOff>6444</xdr:rowOff>
    </xdr:from>
    <xdr:ext cx="303673" cy="170560"/>
    <xdr:sp macro="" textlink="">
      <xdr:nvSpPr>
        <xdr:cNvPr id="10340" name="Text Box 100">
          <a:extLst>
            <a:ext uri="{FF2B5EF4-FFF2-40B4-BE49-F238E27FC236}">
              <a16:creationId xmlns:a16="http://schemas.microsoft.com/office/drawing/2014/main" id="{A797398D-2E8F-4980-AC29-F2F3EE198866}"/>
            </a:ext>
          </a:extLst>
        </xdr:cNvPr>
        <xdr:cNvSpPr txBox="1">
          <a:spLocks noChangeArrowheads="1"/>
        </xdr:cNvSpPr>
      </xdr:nvSpPr>
      <xdr:spPr bwMode="auto">
        <a:xfrm>
          <a:off x="7647343" y="43675768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3.5.1</a:t>
          </a:r>
        </a:p>
      </xdr:txBody>
    </xdr:sp>
    <xdr:clientData/>
  </xdr:oneCellAnchor>
  <xdr:twoCellAnchor>
    <xdr:from>
      <xdr:col>12</xdr:col>
      <xdr:colOff>2951</xdr:colOff>
      <xdr:row>193</xdr:row>
      <xdr:rowOff>152082</xdr:rowOff>
    </xdr:from>
    <xdr:to>
      <xdr:col>13</xdr:col>
      <xdr:colOff>1539</xdr:colOff>
      <xdr:row>195</xdr:row>
      <xdr:rowOff>91291</xdr:rowOff>
    </xdr:to>
    <xdr:sp macro="" textlink="">
      <xdr:nvSpPr>
        <xdr:cNvPr id="7288128" name="Oval 101">
          <a:extLst>
            <a:ext uri="{FF2B5EF4-FFF2-40B4-BE49-F238E27FC236}">
              <a16:creationId xmlns:a16="http://schemas.microsoft.com/office/drawing/2014/main" id="{5167879A-CC44-4595-8EFE-71830B564E54}"/>
            </a:ext>
          </a:extLst>
        </xdr:cNvPr>
        <xdr:cNvSpPr>
          <a:spLocks noChangeArrowheads="1"/>
        </xdr:cNvSpPr>
      </xdr:nvSpPr>
      <xdr:spPr bwMode="auto">
        <a:xfrm>
          <a:off x="8636000" y="43408600"/>
          <a:ext cx="241300" cy="2921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12</xdr:col>
      <xdr:colOff>104775</xdr:colOff>
      <xdr:row>195</xdr:row>
      <xdr:rowOff>95250</xdr:rowOff>
    </xdr:from>
    <xdr:to>
      <xdr:col>12</xdr:col>
      <xdr:colOff>104775</xdr:colOff>
      <xdr:row>198</xdr:row>
      <xdr:rowOff>95250</xdr:rowOff>
    </xdr:to>
    <xdr:cxnSp macro="">
      <xdr:nvCxnSpPr>
        <xdr:cNvPr id="8454261" name="AutoShape 102">
          <a:extLst>
            <a:ext uri="{FF2B5EF4-FFF2-40B4-BE49-F238E27FC236}">
              <a16:creationId xmlns:a16="http://schemas.microsoft.com/office/drawing/2014/main" id="{368C926A-1048-44C2-B79E-5F3520F0D6CA}"/>
            </a:ext>
          </a:extLst>
        </xdr:cNvPr>
        <xdr:cNvCxnSpPr>
          <a:cxnSpLocks noChangeShapeType="1"/>
          <a:stCxn id="7288124" idx="0"/>
          <a:endCxn id="7288128" idx="4"/>
        </xdr:cNvCxnSpPr>
      </xdr:nvCxnSpPr>
      <xdr:spPr bwMode="auto">
        <a:xfrm flipV="1">
          <a:off x="8291513" y="43267313"/>
          <a:ext cx="0" cy="485775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12</xdr:col>
      <xdr:colOff>157797</xdr:colOff>
      <xdr:row>196</xdr:row>
      <xdr:rowOff>90974</xdr:rowOff>
    </xdr:from>
    <xdr:ext cx="303673" cy="170560"/>
    <xdr:sp macro="" textlink="">
      <xdr:nvSpPr>
        <xdr:cNvPr id="10343" name="Text Box 103">
          <a:extLst>
            <a:ext uri="{FF2B5EF4-FFF2-40B4-BE49-F238E27FC236}">
              <a16:creationId xmlns:a16="http://schemas.microsoft.com/office/drawing/2014/main" id="{80726054-C83F-42F6-809F-DAD2FE930BCC}"/>
            </a:ext>
          </a:extLst>
        </xdr:cNvPr>
        <xdr:cNvSpPr txBox="1">
          <a:spLocks noChangeArrowheads="1"/>
        </xdr:cNvSpPr>
      </xdr:nvSpPr>
      <xdr:spPr bwMode="auto">
        <a:xfrm>
          <a:off x="8349297" y="43435327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3.5.2</a:t>
          </a:r>
        </a:p>
      </xdr:txBody>
    </xdr:sp>
    <xdr:clientData/>
  </xdr:oneCellAnchor>
  <xdr:twoCellAnchor>
    <xdr:from>
      <xdr:col>12</xdr:col>
      <xdr:colOff>2951</xdr:colOff>
      <xdr:row>189</xdr:row>
      <xdr:rowOff>24130</xdr:rowOff>
    </xdr:from>
    <xdr:to>
      <xdr:col>13</xdr:col>
      <xdr:colOff>1539</xdr:colOff>
      <xdr:row>190</xdr:row>
      <xdr:rowOff>147974</xdr:rowOff>
    </xdr:to>
    <xdr:sp macro="" textlink="">
      <xdr:nvSpPr>
        <xdr:cNvPr id="7288131" name="Oval 104">
          <a:extLst>
            <a:ext uri="{FF2B5EF4-FFF2-40B4-BE49-F238E27FC236}">
              <a16:creationId xmlns:a16="http://schemas.microsoft.com/office/drawing/2014/main" id="{DF49C64C-662D-48D9-ACFF-E66A894A7795}"/>
            </a:ext>
          </a:extLst>
        </xdr:cNvPr>
        <xdr:cNvSpPr>
          <a:spLocks noChangeArrowheads="1"/>
        </xdr:cNvSpPr>
      </xdr:nvSpPr>
      <xdr:spPr bwMode="auto">
        <a:xfrm>
          <a:off x="8636000" y="426593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12</xdr:col>
      <xdr:colOff>104775</xdr:colOff>
      <xdr:row>190</xdr:row>
      <xdr:rowOff>152400</xdr:rowOff>
    </xdr:from>
    <xdr:to>
      <xdr:col>12</xdr:col>
      <xdr:colOff>104775</xdr:colOff>
      <xdr:row>193</xdr:row>
      <xdr:rowOff>152400</xdr:rowOff>
    </xdr:to>
    <xdr:cxnSp macro="">
      <xdr:nvCxnSpPr>
        <xdr:cNvPr id="8454264" name="AutoShape 105">
          <a:extLst>
            <a:ext uri="{FF2B5EF4-FFF2-40B4-BE49-F238E27FC236}">
              <a16:creationId xmlns:a16="http://schemas.microsoft.com/office/drawing/2014/main" id="{7AE93311-9ECE-4687-A9C4-4834FB7E67B7}"/>
            </a:ext>
          </a:extLst>
        </xdr:cNvPr>
        <xdr:cNvCxnSpPr>
          <a:cxnSpLocks noChangeShapeType="1"/>
          <a:stCxn id="7288128" idx="0"/>
          <a:endCxn id="7288131" idx="4"/>
        </xdr:cNvCxnSpPr>
      </xdr:nvCxnSpPr>
      <xdr:spPr bwMode="auto">
        <a:xfrm flipV="1">
          <a:off x="8291513" y="42514838"/>
          <a:ext cx="0" cy="485775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4538</xdr:colOff>
      <xdr:row>191</xdr:row>
      <xdr:rowOff>138280</xdr:rowOff>
    </xdr:from>
    <xdr:ext cx="303673" cy="170560"/>
    <xdr:sp macro="" textlink="">
      <xdr:nvSpPr>
        <xdr:cNvPr id="10346" name="Text Box 106">
          <a:extLst>
            <a:ext uri="{FF2B5EF4-FFF2-40B4-BE49-F238E27FC236}">
              <a16:creationId xmlns:a16="http://schemas.microsoft.com/office/drawing/2014/main" id="{2CB544CF-7E6B-4D70-85E6-49001D4C4535}"/>
            </a:ext>
          </a:extLst>
        </xdr:cNvPr>
        <xdr:cNvSpPr txBox="1">
          <a:spLocks noChangeArrowheads="1"/>
        </xdr:cNvSpPr>
      </xdr:nvSpPr>
      <xdr:spPr bwMode="auto">
        <a:xfrm>
          <a:off x="8397744" y="42670207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3.5.3</a:t>
          </a:r>
        </a:p>
      </xdr:txBody>
    </xdr:sp>
    <xdr:clientData/>
  </xdr:oneCellAnchor>
  <xdr:twoCellAnchor>
    <xdr:from>
      <xdr:col>12</xdr:col>
      <xdr:colOff>261938</xdr:colOff>
      <xdr:row>186</xdr:row>
      <xdr:rowOff>95250</xdr:rowOff>
    </xdr:from>
    <xdr:to>
      <xdr:col>15</xdr:col>
      <xdr:colOff>261938</xdr:colOff>
      <xdr:row>189</xdr:row>
      <xdr:rowOff>95250</xdr:rowOff>
    </xdr:to>
    <xdr:cxnSp macro="">
      <xdr:nvCxnSpPr>
        <xdr:cNvPr id="8454266" name="AutoShape 107">
          <a:extLst>
            <a:ext uri="{FF2B5EF4-FFF2-40B4-BE49-F238E27FC236}">
              <a16:creationId xmlns:a16="http://schemas.microsoft.com/office/drawing/2014/main" id="{E1C7FDF2-CD61-4E95-8F87-F67879A7D0C4}"/>
            </a:ext>
          </a:extLst>
        </xdr:cNvPr>
        <xdr:cNvCxnSpPr>
          <a:cxnSpLocks noChangeShapeType="1"/>
          <a:stCxn id="7288131" idx="7"/>
          <a:endCxn id="7288029" idx="3"/>
        </xdr:cNvCxnSpPr>
      </xdr:nvCxnSpPr>
      <xdr:spPr bwMode="auto">
        <a:xfrm flipV="1">
          <a:off x="8386763" y="41809988"/>
          <a:ext cx="600075" cy="48577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12</xdr:col>
      <xdr:colOff>51119</xdr:colOff>
      <xdr:row>187</xdr:row>
      <xdr:rowOff>99227</xdr:rowOff>
    </xdr:from>
    <xdr:ext cx="303673" cy="170560"/>
    <xdr:sp macro="" textlink="">
      <xdr:nvSpPr>
        <xdr:cNvPr id="10348" name="Text Box 108">
          <a:extLst>
            <a:ext uri="{FF2B5EF4-FFF2-40B4-BE49-F238E27FC236}">
              <a16:creationId xmlns:a16="http://schemas.microsoft.com/office/drawing/2014/main" id="{85A729D9-7DFB-4331-9AD9-A5A99EB4B365}"/>
            </a:ext>
          </a:extLst>
        </xdr:cNvPr>
        <xdr:cNvSpPr txBox="1">
          <a:spLocks noChangeArrowheads="1"/>
        </xdr:cNvSpPr>
      </xdr:nvSpPr>
      <xdr:spPr bwMode="auto">
        <a:xfrm>
          <a:off x="8242619" y="41981213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3.5.4</a:t>
          </a:r>
        </a:p>
      </xdr:txBody>
    </xdr:sp>
    <xdr:clientData/>
  </xdr:oneCellAnchor>
  <xdr:twoCellAnchor>
    <xdr:from>
      <xdr:col>16</xdr:col>
      <xdr:colOff>6761</xdr:colOff>
      <xdr:row>121</xdr:row>
      <xdr:rowOff>144144</xdr:rowOff>
    </xdr:from>
    <xdr:to>
      <xdr:col>17</xdr:col>
      <xdr:colOff>9643</xdr:colOff>
      <xdr:row>123</xdr:row>
      <xdr:rowOff>16585</xdr:rowOff>
    </xdr:to>
    <xdr:sp macro="" textlink="">
      <xdr:nvSpPr>
        <xdr:cNvPr id="7288136" name="Oval 109">
          <a:extLst>
            <a:ext uri="{FF2B5EF4-FFF2-40B4-BE49-F238E27FC236}">
              <a16:creationId xmlns:a16="http://schemas.microsoft.com/office/drawing/2014/main" id="{A0D7FB80-2B3E-415E-8A65-D581E2AF0A28}"/>
            </a:ext>
          </a:extLst>
        </xdr:cNvPr>
        <xdr:cNvSpPr>
          <a:spLocks noChangeArrowheads="1"/>
        </xdr:cNvSpPr>
      </xdr:nvSpPr>
      <xdr:spPr bwMode="auto">
        <a:xfrm>
          <a:off x="9410700" y="315087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19</xdr:col>
      <xdr:colOff>93028</xdr:colOff>
      <xdr:row>121</xdr:row>
      <xdr:rowOff>144144</xdr:rowOff>
    </xdr:from>
    <xdr:to>
      <xdr:col>20</xdr:col>
      <xdr:colOff>174377</xdr:colOff>
      <xdr:row>123</xdr:row>
      <xdr:rowOff>16585</xdr:rowOff>
    </xdr:to>
    <xdr:sp macro="" textlink="">
      <xdr:nvSpPr>
        <xdr:cNvPr id="7288137" name="Oval 110">
          <a:extLst>
            <a:ext uri="{FF2B5EF4-FFF2-40B4-BE49-F238E27FC236}">
              <a16:creationId xmlns:a16="http://schemas.microsoft.com/office/drawing/2014/main" id="{C3BFA232-CF18-4A69-B4B3-F54358AAF9C7}"/>
            </a:ext>
          </a:extLst>
        </xdr:cNvPr>
        <xdr:cNvSpPr>
          <a:spLocks noChangeArrowheads="1"/>
        </xdr:cNvSpPr>
      </xdr:nvSpPr>
      <xdr:spPr bwMode="auto">
        <a:xfrm>
          <a:off x="10312400" y="31508700"/>
          <a:ext cx="2794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16</xdr:col>
      <xdr:colOff>242888</xdr:colOff>
      <xdr:row>122</xdr:row>
      <xdr:rowOff>95250</xdr:rowOff>
    </xdr:from>
    <xdr:to>
      <xdr:col>19</xdr:col>
      <xdr:colOff>85725</xdr:colOff>
      <xdr:row>122</xdr:row>
      <xdr:rowOff>95250</xdr:rowOff>
    </xdr:to>
    <xdr:cxnSp macro="">
      <xdr:nvCxnSpPr>
        <xdr:cNvPr id="8454270" name="AutoShape 111">
          <a:extLst>
            <a:ext uri="{FF2B5EF4-FFF2-40B4-BE49-F238E27FC236}">
              <a16:creationId xmlns:a16="http://schemas.microsoft.com/office/drawing/2014/main" id="{9B095196-DB9D-42FB-8E9F-9E05BC4F4020}"/>
            </a:ext>
          </a:extLst>
        </xdr:cNvPr>
        <xdr:cNvCxnSpPr>
          <a:cxnSpLocks noChangeShapeType="1"/>
          <a:stCxn id="7288136" idx="6"/>
          <a:endCxn id="7288137" idx="2"/>
        </xdr:cNvCxnSpPr>
      </xdr:nvCxnSpPr>
      <xdr:spPr bwMode="auto">
        <a:xfrm>
          <a:off x="9215438" y="31446788"/>
          <a:ext cx="54292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17</xdr:col>
      <xdr:colOff>114935</xdr:colOff>
      <xdr:row>121</xdr:row>
      <xdr:rowOff>13147</xdr:rowOff>
    </xdr:from>
    <xdr:ext cx="303673" cy="170560"/>
    <xdr:sp macro="" textlink="">
      <xdr:nvSpPr>
        <xdr:cNvPr id="10352" name="Text Box 112">
          <a:extLst>
            <a:ext uri="{FF2B5EF4-FFF2-40B4-BE49-F238E27FC236}">
              <a16:creationId xmlns:a16="http://schemas.microsoft.com/office/drawing/2014/main" id="{4A4914B8-5C3E-4B60-8D4A-2C202FA95AED}"/>
            </a:ext>
          </a:extLst>
        </xdr:cNvPr>
        <xdr:cNvSpPr txBox="1">
          <a:spLocks noChangeArrowheads="1"/>
        </xdr:cNvSpPr>
      </xdr:nvSpPr>
      <xdr:spPr bwMode="auto">
        <a:xfrm>
          <a:off x="9342980" y="31171103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3.4.3</a:t>
          </a:r>
        </a:p>
      </xdr:txBody>
    </xdr:sp>
    <xdr:clientData/>
  </xdr:oneCellAnchor>
  <xdr:twoCellAnchor>
    <xdr:from>
      <xdr:col>11</xdr:col>
      <xdr:colOff>172085</xdr:colOff>
      <xdr:row>121</xdr:row>
      <xdr:rowOff>144144</xdr:rowOff>
    </xdr:from>
    <xdr:to>
      <xdr:col>13</xdr:col>
      <xdr:colOff>2840</xdr:colOff>
      <xdr:row>123</xdr:row>
      <xdr:rowOff>16585</xdr:rowOff>
    </xdr:to>
    <xdr:sp macro="" textlink="">
      <xdr:nvSpPr>
        <xdr:cNvPr id="7288140" name="Oval 113">
          <a:extLst>
            <a:ext uri="{FF2B5EF4-FFF2-40B4-BE49-F238E27FC236}">
              <a16:creationId xmlns:a16="http://schemas.microsoft.com/office/drawing/2014/main" id="{F670A21A-B056-4488-9F4E-6AFCE893E986}"/>
            </a:ext>
          </a:extLst>
        </xdr:cNvPr>
        <xdr:cNvSpPr>
          <a:spLocks noChangeArrowheads="1"/>
        </xdr:cNvSpPr>
      </xdr:nvSpPr>
      <xdr:spPr bwMode="auto">
        <a:xfrm>
          <a:off x="8572500" y="31508700"/>
          <a:ext cx="2540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7</xdr:col>
      <xdr:colOff>165417</xdr:colOff>
      <xdr:row>121</xdr:row>
      <xdr:rowOff>144144</xdr:rowOff>
    </xdr:from>
    <xdr:to>
      <xdr:col>9</xdr:col>
      <xdr:colOff>1139</xdr:colOff>
      <xdr:row>123</xdr:row>
      <xdr:rowOff>16585</xdr:rowOff>
    </xdr:to>
    <xdr:sp macro="" textlink="">
      <xdr:nvSpPr>
        <xdr:cNvPr id="7288141" name="Oval 114">
          <a:extLst>
            <a:ext uri="{FF2B5EF4-FFF2-40B4-BE49-F238E27FC236}">
              <a16:creationId xmlns:a16="http://schemas.microsoft.com/office/drawing/2014/main" id="{FC6E1C1E-C53B-444B-81B3-E5AFB8C6A1C4}"/>
            </a:ext>
          </a:extLst>
        </xdr:cNvPr>
        <xdr:cNvSpPr>
          <a:spLocks noChangeArrowheads="1"/>
        </xdr:cNvSpPr>
      </xdr:nvSpPr>
      <xdr:spPr bwMode="auto">
        <a:xfrm>
          <a:off x="7759700" y="315087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214313</xdr:colOff>
      <xdr:row>122</xdr:row>
      <xdr:rowOff>95250</xdr:rowOff>
    </xdr:from>
    <xdr:to>
      <xdr:col>11</xdr:col>
      <xdr:colOff>161925</xdr:colOff>
      <xdr:row>122</xdr:row>
      <xdr:rowOff>95250</xdr:rowOff>
    </xdr:to>
    <xdr:cxnSp macro="">
      <xdr:nvCxnSpPr>
        <xdr:cNvPr id="8454274" name="AutoShape 115">
          <a:extLst>
            <a:ext uri="{FF2B5EF4-FFF2-40B4-BE49-F238E27FC236}">
              <a16:creationId xmlns:a16="http://schemas.microsoft.com/office/drawing/2014/main" id="{B3FC65D9-B648-4FA7-86CE-8FB2DF5B2D36}"/>
            </a:ext>
          </a:extLst>
        </xdr:cNvPr>
        <xdr:cNvCxnSpPr>
          <a:cxnSpLocks noChangeShapeType="1"/>
          <a:stCxn id="7288141" idx="6"/>
          <a:endCxn id="7288140" idx="2"/>
        </xdr:cNvCxnSpPr>
      </xdr:nvCxnSpPr>
      <xdr:spPr bwMode="auto">
        <a:xfrm>
          <a:off x="7586663" y="31446788"/>
          <a:ext cx="5619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56199</xdr:colOff>
      <xdr:row>120</xdr:row>
      <xdr:rowOff>150663</xdr:rowOff>
    </xdr:from>
    <xdr:ext cx="303673" cy="170560"/>
    <xdr:sp macro="" textlink="">
      <xdr:nvSpPr>
        <xdr:cNvPr id="10356" name="Text Box 116">
          <a:extLst>
            <a:ext uri="{FF2B5EF4-FFF2-40B4-BE49-F238E27FC236}">
              <a16:creationId xmlns:a16="http://schemas.microsoft.com/office/drawing/2014/main" id="{E717A272-924B-478B-95E0-02BD273B58C2}"/>
            </a:ext>
          </a:extLst>
        </xdr:cNvPr>
        <xdr:cNvSpPr txBox="1">
          <a:spLocks noChangeArrowheads="1"/>
        </xdr:cNvSpPr>
      </xdr:nvSpPr>
      <xdr:spPr bwMode="auto">
        <a:xfrm>
          <a:off x="7642581" y="3114613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3.4.1</a:t>
          </a:r>
        </a:p>
      </xdr:txBody>
    </xdr:sp>
    <xdr:clientData/>
  </xdr:oneCellAnchor>
  <xdr:twoCellAnchor>
    <xdr:from>
      <xdr:col>12</xdr:col>
      <xdr:colOff>238125</xdr:colOff>
      <xdr:row>122</xdr:row>
      <xdr:rowOff>95250</xdr:rowOff>
    </xdr:from>
    <xdr:to>
      <xdr:col>15</xdr:col>
      <xdr:colOff>200025</xdr:colOff>
      <xdr:row>122</xdr:row>
      <xdr:rowOff>95250</xdr:rowOff>
    </xdr:to>
    <xdr:cxnSp macro="">
      <xdr:nvCxnSpPr>
        <xdr:cNvPr id="8454276" name="AutoShape 117">
          <a:extLst>
            <a:ext uri="{FF2B5EF4-FFF2-40B4-BE49-F238E27FC236}">
              <a16:creationId xmlns:a16="http://schemas.microsoft.com/office/drawing/2014/main" id="{45365D37-DA24-4B51-99CF-12C7337F6AE8}"/>
            </a:ext>
          </a:extLst>
        </xdr:cNvPr>
        <xdr:cNvCxnSpPr>
          <a:cxnSpLocks noChangeShapeType="1"/>
          <a:stCxn id="7288140" idx="6"/>
          <a:endCxn id="7288136" idx="2"/>
        </xdr:cNvCxnSpPr>
      </xdr:nvCxnSpPr>
      <xdr:spPr bwMode="auto">
        <a:xfrm>
          <a:off x="8386763" y="31446788"/>
          <a:ext cx="6000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13</xdr:col>
      <xdr:colOff>50484</xdr:colOff>
      <xdr:row>121</xdr:row>
      <xdr:rowOff>131</xdr:rowOff>
    </xdr:from>
    <xdr:ext cx="303673" cy="170560"/>
    <xdr:sp macro="" textlink="">
      <xdr:nvSpPr>
        <xdr:cNvPr id="10358" name="Text Box 118">
          <a:extLst>
            <a:ext uri="{FF2B5EF4-FFF2-40B4-BE49-F238E27FC236}">
              <a16:creationId xmlns:a16="http://schemas.microsoft.com/office/drawing/2014/main" id="{5FF5FDD7-CE19-4F57-B16F-BD10B139FF0D}"/>
            </a:ext>
          </a:extLst>
        </xdr:cNvPr>
        <xdr:cNvSpPr txBox="1">
          <a:spLocks noChangeArrowheads="1"/>
        </xdr:cNvSpPr>
      </xdr:nvSpPr>
      <xdr:spPr bwMode="auto">
        <a:xfrm>
          <a:off x="8443690" y="31158087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3.4.2</a:t>
          </a:r>
        </a:p>
      </xdr:txBody>
    </xdr:sp>
    <xdr:clientData/>
  </xdr:oneCellAnchor>
  <xdr:twoCellAnchor>
    <xdr:from>
      <xdr:col>23</xdr:col>
      <xdr:colOff>11057</xdr:colOff>
      <xdr:row>121</xdr:row>
      <xdr:rowOff>144144</xdr:rowOff>
    </xdr:from>
    <xdr:to>
      <xdr:col>24</xdr:col>
      <xdr:colOff>13008</xdr:colOff>
      <xdr:row>123</xdr:row>
      <xdr:rowOff>16585</xdr:rowOff>
    </xdr:to>
    <xdr:sp macro="" textlink="">
      <xdr:nvSpPr>
        <xdr:cNvPr id="7288146" name="Oval 119">
          <a:extLst>
            <a:ext uri="{FF2B5EF4-FFF2-40B4-BE49-F238E27FC236}">
              <a16:creationId xmlns:a16="http://schemas.microsoft.com/office/drawing/2014/main" id="{1D9AB529-15E7-4816-82C4-AEC8259DBA4E}"/>
            </a:ext>
          </a:extLst>
        </xdr:cNvPr>
        <xdr:cNvSpPr>
          <a:spLocks noChangeArrowheads="1"/>
        </xdr:cNvSpPr>
      </xdr:nvSpPr>
      <xdr:spPr bwMode="auto">
        <a:xfrm>
          <a:off x="11112500" y="315087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20</xdr:col>
      <xdr:colOff>157163</xdr:colOff>
      <xdr:row>122</xdr:row>
      <xdr:rowOff>95250</xdr:rowOff>
    </xdr:from>
    <xdr:to>
      <xdr:col>22</xdr:col>
      <xdr:colOff>252413</xdr:colOff>
      <xdr:row>122</xdr:row>
      <xdr:rowOff>95250</xdr:rowOff>
    </xdr:to>
    <xdr:cxnSp macro="">
      <xdr:nvCxnSpPr>
        <xdr:cNvPr id="8454279" name="AutoShape 120">
          <a:extLst>
            <a:ext uri="{FF2B5EF4-FFF2-40B4-BE49-F238E27FC236}">
              <a16:creationId xmlns:a16="http://schemas.microsoft.com/office/drawing/2014/main" id="{69E95803-56BF-4F5F-BE8D-575C5A0A5DF5}"/>
            </a:ext>
          </a:extLst>
        </xdr:cNvPr>
        <xdr:cNvCxnSpPr>
          <a:cxnSpLocks noChangeShapeType="1"/>
          <a:stCxn id="7288137" idx="6"/>
          <a:endCxn id="7288146" idx="2"/>
        </xdr:cNvCxnSpPr>
      </xdr:nvCxnSpPr>
      <xdr:spPr bwMode="auto">
        <a:xfrm>
          <a:off x="10044113" y="31446788"/>
          <a:ext cx="48577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20</xdr:col>
      <xdr:colOff>209233</xdr:colOff>
      <xdr:row>121</xdr:row>
      <xdr:rowOff>7432</xdr:rowOff>
    </xdr:from>
    <xdr:ext cx="303673" cy="170560"/>
    <xdr:sp macro="" textlink="">
      <xdr:nvSpPr>
        <xdr:cNvPr id="10361" name="Text Box 121">
          <a:extLst>
            <a:ext uri="{FF2B5EF4-FFF2-40B4-BE49-F238E27FC236}">
              <a16:creationId xmlns:a16="http://schemas.microsoft.com/office/drawing/2014/main" id="{6136D01A-7F30-4FFF-B39C-F50C982B52D6}"/>
            </a:ext>
          </a:extLst>
        </xdr:cNvPr>
        <xdr:cNvSpPr txBox="1">
          <a:spLocks noChangeArrowheads="1"/>
        </xdr:cNvSpPr>
      </xdr:nvSpPr>
      <xdr:spPr bwMode="auto">
        <a:xfrm>
          <a:off x="10109631" y="31165388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3.4.4</a:t>
          </a:r>
        </a:p>
      </xdr:txBody>
    </xdr:sp>
    <xdr:clientData/>
  </xdr:oneCellAnchor>
  <xdr:twoCellAnchor>
    <xdr:from>
      <xdr:col>27</xdr:col>
      <xdr:colOff>134302</xdr:colOff>
      <xdr:row>151</xdr:row>
      <xdr:rowOff>152399</xdr:rowOff>
    </xdr:from>
    <xdr:to>
      <xdr:col>28</xdr:col>
      <xdr:colOff>126063</xdr:colOff>
      <xdr:row>153</xdr:row>
      <xdr:rowOff>132056</xdr:rowOff>
    </xdr:to>
    <xdr:sp macro="" textlink="">
      <xdr:nvSpPr>
        <xdr:cNvPr id="7288149" name="Oval 122">
          <a:extLst>
            <a:ext uri="{FF2B5EF4-FFF2-40B4-BE49-F238E27FC236}">
              <a16:creationId xmlns:a16="http://schemas.microsoft.com/office/drawing/2014/main" id="{05477509-FEA8-431A-A401-FD6FE6445FC9}"/>
            </a:ext>
          </a:extLst>
        </xdr:cNvPr>
        <xdr:cNvSpPr>
          <a:spLocks noChangeArrowheads="1"/>
        </xdr:cNvSpPr>
      </xdr:nvSpPr>
      <xdr:spPr bwMode="auto">
        <a:xfrm>
          <a:off x="12153900" y="36525200"/>
          <a:ext cx="2413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151</xdr:row>
      <xdr:rowOff>152399</xdr:rowOff>
    </xdr:from>
    <xdr:to>
      <xdr:col>25</xdr:col>
      <xdr:colOff>10963</xdr:colOff>
      <xdr:row>153</xdr:row>
      <xdr:rowOff>132056</xdr:rowOff>
    </xdr:to>
    <xdr:sp macro="" textlink="">
      <xdr:nvSpPr>
        <xdr:cNvPr id="7288150" name="Oval 123">
          <a:extLst>
            <a:ext uri="{FF2B5EF4-FFF2-40B4-BE49-F238E27FC236}">
              <a16:creationId xmlns:a16="http://schemas.microsoft.com/office/drawing/2014/main" id="{8C424BE1-A3EB-4224-9770-953208996E41}"/>
            </a:ext>
          </a:extLst>
        </xdr:cNvPr>
        <xdr:cNvSpPr>
          <a:spLocks noChangeArrowheads="1"/>
        </xdr:cNvSpPr>
      </xdr:nvSpPr>
      <xdr:spPr bwMode="auto">
        <a:xfrm>
          <a:off x="11353800" y="36525200"/>
          <a:ext cx="2667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25</xdr:col>
      <xdr:colOff>0</xdr:colOff>
      <xdr:row>152</xdr:row>
      <xdr:rowOff>152400</xdr:rowOff>
    </xdr:from>
    <xdr:to>
      <xdr:col>27</xdr:col>
      <xdr:colOff>109538</xdr:colOff>
      <xdr:row>152</xdr:row>
      <xdr:rowOff>152400</xdr:rowOff>
    </xdr:to>
    <xdr:cxnSp macro="">
      <xdr:nvCxnSpPr>
        <xdr:cNvPr id="8454283" name="AutoShape 124">
          <a:extLst>
            <a:ext uri="{FF2B5EF4-FFF2-40B4-BE49-F238E27FC236}">
              <a16:creationId xmlns:a16="http://schemas.microsoft.com/office/drawing/2014/main" id="{32814E99-FAA0-4089-9717-B617273FE3FF}"/>
            </a:ext>
          </a:extLst>
        </xdr:cNvPr>
        <xdr:cNvCxnSpPr>
          <a:cxnSpLocks noChangeShapeType="1"/>
          <a:stCxn id="7288150" idx="6"/>
          <a:endCxn id="7288149" idx="2"/>
        </xdr:cNvCxnSpPr>
      </xdr:nvCxnSpPr>
      <xdr:spPr bwMode="auto">
        <a:xfrm>
          <a:off x="10958513" y="36361688"/>
          <a:ext cx="53816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51754</xdr:colOff>
      <xdr:row>151</xdr:row>
      <xdr:rowOff>110340</xdr:rowOff>
    </xdr:from>
    <xdr:ext cx="303673" cy="170560"/>
    <xdr:sp macro="" textlink="">
      <xdr:nvSpPr>
        <xdr:cNvPr id="10365" name="Text Box 125">
          <a:extLst>
            <a:ext uri="{FF2B5EF4-FFF2-40B4-BE49-F238E27FC236}">
              <a16:creationId xmlns:a16="http://schemas.microsoft.com/office/drawing/2014/main" id="{00BD896B-065F-4490-9997-313508BB09A9}"/>
            </a:ext>
          </a:extLst>
        </xdr:cNvPr>
        <xdr:cNvSpPr txBox="1">
          <a:spLocks noChangeArrowheads="1"/>
        </xdr:cNvSpPr>
      </xdr:nvSpPr>
      <xdr:spPr bwMode="auto">
        <a:xfrm>
          <a:off x="11016710" y="3614285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2.3.1</a:t>
          </a:r>
        </a:p>
      </xdr:txBody>
    </xdr:sp>
    <xdr:clientData/>
  </xdr:oneCellAnchor>
  <xdr:twoCellAnchor>
    <xdr:from>
      <xdr:col>31</xdr:col>
      <xdr:colOff>76518</xdr:colOff>
      <xdr:row>151</xdr:row>
      <xdr:rowOff>152399</xdr:rowOff>
    </xdr:from>
    <xdr:to>
      <xdr:col>32</xdr:col>
      <xdr:colOff>146197</xdr:colOff>
      <xdr:row>153</xdr:row>
      <xdr:rowOff>132056</xdr:rowOff>
    </xdr:to>
    <xdr:sp macro="" textlink="">
      <xdr:nvSpPr>
        <xdr:cNvPr id="7288153" name="Oval 126">
          <a:extLst>
            <a:ext uri="{FF2B5EF4-FFF2-40B4-BE49-F238E27FC236}">
              <a16:creationId xmlns:a16="http://schemas.microsoft.com/office/drawing/2014/main" id="{C1E2B6A8-A263-43B1-B383-CAE7F2B346B8}"/>
            </a:ext>
          </a:extLst>
        </xdr:cNvPr>
        <xdr:cNvSpPr>
          <a:spLocks noChangeArrowheads="1"/>
        </xdr:cNvSpPr>
      </xdr:nvSpPr>
      <xdr:spPr bwMode="auto">
        <a:xfrm>
          <a:off x="13042900" y="36525200"/>
          <a:ext cx="3048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128588</xdr:colOff>
      <xdr:row>152</xdr:row>
      <xdr:rowOff>152400</xdr:rowOff>
    </xdr:from>
    <xdr:to>
      <xdr:col>31</xdr:col>
      <xdr:colOff>80963</xdr:colOff>
      <xdr:row>152</xdr:row>
      <xdr:rowOff>152400</xdr:rowOff>
    </xdr:to>
    <xdr:cxnSp macro="">
      <xdr:nvCxnSpPr>
        <xdr:cNvPr id="8454286" name="AutoShape 127">
          <a:extLst>
            <a:ext uri="{FF2B5EF4-FFF2-40B4-BE49-F238E27FC236}">
              <a16:creationId xmlns:a16="http://schemas.microsoft.com/office/drawing/2014/main" id="{2983AB1B-0C7A-4C62-B594-9280162CDE36}"/>
            </a:ext>
          </a:extLst>
        </xdr:cNvPr>
        <xdr:cNvCxnSpPr>
          <a:cxnSpLocks noChangeShapeType="1"/>
          <a:stCxn id="7288149" idx="6"/>
          <a:endCxn id="7288153" idx="2"/>
        </xdr:cNvCxnSpPr>
      </xdr:nvCxnSpPr>
      <xdr:spPr bwMode="auto">
        <a:xfrm>
          <a:off x="11730038" y="36361688"/>
          <a:ext cx="59531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2166</xdr:colOff>
      <xdr:row>151</xdr:row>
      <xdr:rowOff>110340</xdr:rowOff>
    </xdr:from>
    <xdr:ext cx="303673" cy="170560"/>
    <xdr:sp macro="" textlink="">
      <xdr:nvSpPr>
        <xdr:cNvPr id="10368" name="Text Box 128">
          <a:extLst>
            <a:ext uri="{FF2B5EF4-FFF2-40B4-BE49-F238E27FC236}">
              <a16:creationId xmlns:a16="http://schemas.microsoft.com/office/drawing/2014/main" id="{9B7C0EAF-0B1F-4EC6-B98B-C7532E19D8AA}"/>
            </a:ext>
          </a:extLst>
        </xdr:cNvPr>
        <xdr:cNvSpPr txBox="1">
          <a:spLocks noChangeArrowheads="1"/>
        </xdr:cNvSpPr>
      </xdr:nvSpPr>
      <xdr:spPr bwMode="auto">
        <a:xfrm>
          <a:off x="11818770" y="3614285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2.3.2</a:t>
          </a:r>
        </a:p>
      </xdr:txBody>
    </xdr:sp>
    <xdr:clientData/>
  </xdr:oneCellAnchor>
  <xdr:twoCellAnchor editAs="oneCell">
    <xdr:from>
      <xdr:col>36</xdr:col>
      <xdr:colOff>78423</xdr:colOff>
      <xdr:row>151</xdr:row>
      <xdr:rowOff>144144</xdr:rowOff>
    </xdr:from>
    <xdr:to>
      <xdr:col>36</xdr:col>
      <xdr:colOff>211111</xdr:colOff>
      <xdr:row>152</xdr:row>
      <xdr:rowOff>161674</xdr:rowOff>
    </xdr:to>
    <xdr:sp macro="" textlink="">
      <xdr:nvSpPr>
        <xdr:cNvPr id="7288156" name="Text Box 129">
          <a:extLst>
            <a:ext uri="{FF2B5EF4-FFF2-40B4-BE49-F238E27FC236}">
              <a16:creationId xmlns:a16="http://schemas.microsoft.com/office/drawing/2014/main" id="{61904F17-46ED-4324-A4AC-E1FEB8E62FFC}"/>
            </a:ext>
          </a:extLst>
        </xdr:cNvPr>
        <xdr:cNvSpPr txBox="1">
          <a:spLocks noChangeArrowheads="1"/>
        </xdr:cNvSpPr>
      </xdr:nvSpPr>
      <xdr:spPr bwMode="auto">
        <a:xfrm>
          <a:off x="14376400" y="36461700"/>
          <a:ext cx="889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21</xdr:col>
      <xdr:colOff>157163</xdr:colOff>
      <xdr:row>152</xdr:row>
      <xdr:rowOff>152400</xdr:rowOff>
    </xdr:from>
    <xdr:to>
      <xdr:col>23</xdr:col>
      <xdr:colOff>271463</xdr:colOff>
      <xdr:row>157</xdr:row>
      <xdr:rowOff>95250</xdr:rowOff>
    </xdr:to>
    <xdr:cxnSp macro="">
      <xdr:nvCxnSpPr>
        <xdr:cNvPr id="8454289" name="AutoShape 130">
          <a:extLst>
            <a:ext uri="{FF2B5EF4-FFF2-40B4-BE49-F238E27FC236}">
              <a16:creationId xmlns:a16="http://schemas.microsoft.com/office/drawing/2014/main" id="{3DA1A147-B81B-48C9-B131-E91918F2BA38}"/>
            </a:ext>
          </a:extLst>
        </xdr:cNvPr>
        <xdr:cNvCxnSpPr>
          <a:cxnSpLocks noChangeShapeType="1"/>
          <a:stCxn id="7288118" idx="0"/>
          <a:endCxn id="7288150" idx="2"/>
        </xdr:cNvCxnSpPr>
      </xdr:nvCxnSpPr>
      <xdr:spPr bwMode="auto">
        <a:xfrm rot="-5400000">
          <a:off x="10125075" y="36495038"/>
          <a:ext cx="752475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157163</xdr:colOff>
      <xdr:row>135</xdr:row>
      <xdr:rowOff>57150</xdr:rowOff>
    </xdr:from>
    <xdr:to>
      <xdr:col>23</xdr:col>
      <xdr:colOff>271463</xdr:colOff>
      <xdr:row>152</xdr:row>
      <xdr:rowOff>152400</xdr:rowOff>
    </xdr:to>
    <xdr:cxnSp macro="">
      <xdr:nvCxnSpPr>
        <xdr:cNvPr id="8454290" name="AutoShape 131">
          <a:extLst>
            <a:ext uri="{FF2B5EF4-FFF2-40B4-BE49-F238E27FC236}">
              <a16:creationId xmlns:a16="http://schemas.microsoft.com/office/drawing/2014/main" id="{659A48BF-58B8-45A5-ADE0-904D7C6A450C}"/>
            </a:ext>
          </a:extLst>
        </xdr:cNvPr>
        <xdr:cNvCxnSpPr>
          <a:cxnSpLocks noChangeShapeType="1"/>
          <a:stCxn id="7288094" idx="4"/>
          <a:endCxn id="7288150" idx="2"/>
        </xdr:cNvCxnSpPr>
      </xdr:nvCxnSpPr>
      <xdr:spPr bwMode="auto">
        <a:xfrm rot="16200000" flipH="1">
          <a:off x="9077325" y="34694813"/>
          <a:ext cx="2847975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22</xdr:col>
      <xdr:colOff>61913</xdr:colOff>
      <xdr:row>158</xdr:row>
      <xdr:rowOff>57150</xdr:rowOff>
    </xdr:from>
    <xdr:to>
      <xdr:col>23</xdr:col>
      <xdr:colOff>271463</xdr:colOff>
      <xdr:row>158</xdr:row>
      <xdr:rowOff>95250</xdr:rowOff>
    </xdr:to>
    <xdr:cxnSp macro="">
      <xdr:nvCxnSpPr>
        <xdr:cNvPr id="8454291" name="AutoShape 132">
          <a:extLst>
            <a:ext uri="{FF2B5EF4-FFF2-40B4-BE49-F238E27FC236}">
              <a16:creationId xmlns:a16="http://schemas.microsoft.com/office/drawing/2014/main" id="{9A2F5DCE-EBFB-4B52-A998-7E7CFD65E5DF}"/>
            </a:ext>
          </a:extLst>
        </xdr:cNvPr>
        <xdr:cNvCxnSpPr>
          <a:cxnSpLocks noChangeShapeType="1"/>
          <a:stCxn id="7288118" idx="6"/>
          <a:endCxn id="7288106" idx="2"/>
        </xdr:cNvCxnSpPr>
      </xdr:nvCxnSpPr>
      <xdr:spPr bwMode="auto">
        <a:xfrm>
          <a:off x="10377488" y="37237988"/>
          <a:ext cx="366712" cy="3810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41</xdr:col>
      <xdr:colOff>81281</xdr:colOff>
      <xdr:row>177</xdr:row>
      <xdr:rowOff>126999</xdr:rowOff>
    </xdr:from>
    <xdr:to>
      <xdr:col>42</xdr:col>
      <xdr:colOff>135537</xdr:colOff>
      <xdr:row>179</xdr:row>
      <xdr:rowOff>9256</xdr:rowOff>
    </xdr:to>
    <xdr:sp macro="" textlink="">
      <xdr:nvSpPr>
        <xdr:cNvPr id="7288160" name="Oval 133">
          <a:extLst>
            <a:ext uri="{FF2B5EF4-FFF2-40B4-BE49-F238E27FC236}">
              <a16:creationId xmlns:a16="http://schemas.microsoft.com/office/drawing/2014/main" id="{B3ACD22B-D5A6-43EB-8DE1-ACAA39634767}"/>
            </a:ext>
          </a:extLst>
        </xdr:cNvPr>
        <xdr:cNvSpPr>
          <a:spLocks noChangeArrowheads="1"/>
        </xdr:cNvSpPr>
      </xdr:nvSpPr>
      <xdr:spPr bwMode="auto">
        <a:xfrm>
          <a:off x="15709900" y="407543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8</xdr:col>
      <xdr:colOff>38100</xdr:colOff>
      <xdr:row>123</xdr:row>
      <xdr:rowOff>23813</xdr:rowOff>
    </xdr:from>
    <xdr:to>
      <xdr:col>8</xdr:col>
      <xdr:colOff>61913</xdr:colOff>
      <xdr:row>177</xdr:row>
      <xdr:rowOff>23813</xdr:rowOff>
    </xdr:to>
    <xdr:cxnSp macro="">
      <xdr:nvCxnSpPr>
        <xdr:cNvPr id="8454293" name="AutoShape 134">
          <a:extLst>
            <a:ext uri="{FF2B5EF4-FFF2-40B4-BE49-F238E27FC236}">
              <a16:creationId xmlns:a16="http://schemas.microsoft.com/office/drawing/2014/main" id="{1D744D1B-F2C6-4A13-A149-3B137C7018B4}"/>
            </a:ext>
          </a:extLst>
        </xdr:cNvPr>
        <xdr:cNvCxnSpPr>
          <a:cxnSpLocks noChangeShapeType="1"/>
          <a:stCxn id="7288064" idx="0"/>
          <a:endCxn id="7288141" idx="4"/>
        </xdr:cNvCxnSpPr>
      </xdr:nvCxnSpPr>
      <xdr:spPr bwMode="auto">
        <a:xfrm rot="5400000" flipH="1">
          <a:off x="3064669" y="35897344"/>
          <a:ext cx="8743950" cy="23812"/>
        </a:xfrm>
        <a:prstGeom prst="bentConnector3">
          <a:avLst>
            <a:gd name="adj1" fmla="val 50000"/>
          </a:avLst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61913</xdr:colOff>
      <xdr:row>178</xdr:row>
      <xdr:rowOff>152400</xdr:rowOff>
    </xdr:from>
    <xdr:to>
      <xdr:col>8</xdr:col>
      <xdr:colOff>61913</xdr:colOff>
      <xdr:row>198</xdr:row>
      <xdr:rowOff>95250</xdr:rowOff>
    </xdr:to>
    <xdr:cxnSp macro="">
      <xdr:nvCxnSpPr>
        <xdr:cNvPr id="8454294" name="AutoShape 135">
          <a:extLst>
            <a:ext uri="{FF2B5EF4-FFF2-40B4-BE49-F238E27FC236}">
              <a16:creationId xmlns:a16="http://schemas.microsoft.com/office/drawing/2014/main" id="{9E74EFF5-F784-41B2-9F80-D01C32E7678C}"/>
            </a:ext>
          </a:extLst>
        </xdr:cNvPr>
        <xdr:cNvCxnSpPr>
          <a:cxnSpLocks noChangeShapeType="1"/>
          <a:stCxn id="7288064" idx="4"/>
          <a:endCxn id="7288125" idx="0"/>
        </xdr:cNvCxnSpPr>
      </xdr:nvCxnSpPr>
      <xdr:spPr bwMode="auto">
        <a:xfrm>
          <a:off x="7448550" y="40571738"/>
          <a:ext cx="0" cy="3181350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0</xdr:colOff>
      <xdr:row>122</xdr:row>
      <xdr:rowOff>95250</xdr:rowOff>
    </xdr:from>
    <xdr:to>
      <xdr:col>41</xdr:col>
      <xdr:colOff>257175</xdr:colOff>
      <xdr:row>177</xdr:row>
      <xdr:rowOff>133350</xdr:rowOff>
    </xdr:to>
    <xdr:cxnSp macro="">
      <xdr:nvCxnSpPr>
        <xdr:cNvPr id="8454295" name="AutoShape 136">
          <a:extLst>
            <a:ext uri="{FF2B5EF4-FFF2-40B4-BE49-F238E27FC236}">
              <a16:creationId xmlns:a16="http://schemas.microsoft.com/office/drawing/2014/main" id="{68D453BF-40BC-4055-9FA4-8926A1FD53D1}"/>
            </a:ext>
          </a:extLst>
        </xdr:cNvPr>
        <xdr:cNvCxnSpPr>
          <a:cxnSpLocks noChangeShapeType="1"/>
          <a:stCxn id="7288146" idx="6"/>
          <a:endCxn id="7288160" idx="0"/>
        </xdr:cNvCxnSpPr>
      </xdr:nvCxnSpPr>
      <xdr:spPr bwMode="auto">
        <a:xfrm>
          <a:off x="10744200" y="31446788"/>
          <a:ext cx="4224338" cy="89439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125</xdr:row>
      <xdr:rowOff>95250</xdr:rowOff>
    </xdr:from>
    <xdr:to>
      <xdr:col>41</xdr:col>
      <xdr:colOff>257175</xdr:colOff>
      <xdr:row>177</xdr:row>
      <xdr:rowOff>133350</xdr:rowOff>
    </xdr:to>
    <xdr:cxnSp macro="">
      <xdr:nvCxnSpPr>
        <xdr:cNvPr id="8454296" name="AutoShape 137">
          <a:extLst>
            <a:ext uri="{FF2B5EF4-FFF2-40B4-BE49-F238E27FC236}">
              <a16:creationId xmlns:a16="http://schemas.microsoft.com/office/drawing/2014/main" id="{21C1DE80-1A02-4B56-925D-5726C0E10319}"/>
            </a:ext>
          </a:extLst>
        </xdr:cNvPr>
        <xdr:cNvCxnSpPr>
          <a:cxnSpLocks noChangeShapeType="1"/>
          <a:stCxn id="7288070" idx="6"/>
          <a:endCxn id="7288160" idx="0"/>
        </xdr:cNvCxnSpPr>
      </xdr:nvCxnSpPr>
      <xdr:spPr bwMode="auto">
        <a:xfrm>
          <a:off x="11815763" y="31932563"/>
          <a:ext cx="3152775" cy="845820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129</xdr:row>
      <xdr:rowOff>23813</xdr:rowOff>
    </xdr:from>
    <xdr:to>
      <xdr:col>41</xdr:col>
      <xdr:colOff>257175</xdr:colOff>
      <xdr:row>177</xdr:row>
      <xdr:rowOff>133350</xdr:rowOff>
    </xdr:to>
    <xdr:cxnSp macro="">
      <xdr:nvCxnSpPr>
        <xdr:cNvPr id="8454297" name="AutoShape 138">
          <a:extLst>
            <a:ext uri="{FF2B5EF4-FFF2-40B4-BE49-F238E27FC236}">
              <a16:creationId xmlns:a16="http://schemas.microsoft.com/office/drawing/2014/main" id="{DD100B13-5F75-459C-9F01-129C7DF87EA2}"/>
            </a:ext>
          </a:extLst>
        </xdr:cNvPr>
        <xdr:cNvCxnSpPr>
          <a:cxnSpLocks noChangeShapeType="1"/>
          <a:stCxn id="7288074" idx="6"/>
          <a:endCxn id="7288160" idx="0"/>
        </xdr:cNvCxnSpPr>
      </xdr:nvCxnSpPr>
      <xdr:spPr bwMode="auto">
        <a:xfrm>
          <a:off x="11815763" y="32508825"/>
          <a:ext cx="3152775" cy="788193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138113</xdr:colOff>
      <xdr:row>152</xdr:row>
      <xdr:rowOff>152400</xdr:rowOff>
    </xdr:from>
    <xdr:to>
      <xdr:col>41</xdr:col>
      <xdr:colOff>257175</xdr:colOff>
      <xdr:row>177</xdr:row>
      <xdr:rowOff>133350</xdr:rowOff>
    </xdr:to>
    <xdr:cxnSp macro="">
      <xdr:nvCxnSpPr>
        <xdr:cNvPr id="8454298" name="AutoShape 139">
          <a:extLst>
            <a:ext uri="{FF2B5EF4-FFF2-40B4-BE49-F238E27FC236}">
              <a16:creationId xmlns:a16="http://schemas.microsoft.com/office/drawing/2014/main" id="{E558D682-6D9E-48F7-AD5C-DF6A32D01039}"/>
            </a:ext>
          </a:extLst>
        </xdr:cNvPr>
        <xdr:cNvCxnSpPr>
          <a:cxnSpLocks noChangeShapeType="1"/>
          <a:stCxn id="7288153" idx="6"/>
          <a:endCxn id="7288160" idx="0"/>
        </xdr:cNvCxnSpPr>
      </xdr:nvCxnSpPr>
      <xdr:spPr bwMode="auto">
        <a:xfrm>
          <a:off x="12630150" y="36361688"/>
          <a:ext cx="2338388" cy="40290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39</xdr:col>
      <xdr:colOff>138113</xdr:colOff>
      <xdr:row>158</xdr:row>
      <xdr:rowOff>95250</xdr:rowOff>
    </xdr:from>
    <xdr:to>
      <xdr:col>41</xdr:col>
      <xdr:colOff>257175</xdr:colOff>
      <xdr:row>177</xdr:row>
      <xdr:rowOff>133350</xdr:rowOff>
    </xdr:to>
    <xdr:cxnSp macro="">
      <xdr:nvCxnSpPr>
        <xdr:cNvPr id="8454299" name="AutoShape 140">
          <a:extLst>
            <a:ext uri="{FF2B5EF4-FFF2-40B4-BE49-F238E27FC236}">
              <a16:creationId xmlns:a16="http://schemas.microsoft.com/office/drawing/2014/main" id="{15B0459B-0A42-47B2-A6F1-608D65483094}"/>
            </a:ext>
          </a:extLst>
        </xdr:cNvPr>
        <xdr:cNvCxnSpPr>
          <a:cxnSpLocks noChangeShapeType="1"/>
          <a:stCxn id="7288115" idx="6"/>
          <a:endCxn id="7288160" idx="0"/>
        </xdr:cNvCxnSpPr>
      </xdr:nvCxnSpPr>
      <xdr:spPr bwMode="auto">
        <a:xfrm>
          <a:off x="14363700" y="37276088"/>
          <a:ext cx="604838" cy="31146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132</xdr:row>
      <xdr:rowOff>228600</xdr:rowOff>
    </xdr:from>
    <xdr:to>
      <xdr:col>41</xdr:col>
      <xdr:colOff>257175</xdr:colOff>
      <xdr:row>177</xdr:row>
      <xdr:rowOff>133350</xdr:rowOff>
    </xdr:to>
    <xdr:cxnSp macro="">
      <xdr:nvCxnSpPr>
        <xdr:cNvPr id="8454300" name="AutoShape 141">
          <a:extLst>
            <a:ext uri="{FF2B5EF4-FFF2-40B4-BE49-F238E27FC236}">
              <a16:creationId xmlns:a16="http://schemas.microsoft.com/office/drawing/2014/main" id="{E2A023E2-9D3B-4E5B-99AC-AB21C28C5DDB}"/>
            </a:ext>
          </a:extLst>
        </xdr:cNvPr>
        <xdr:cNvCxnSpPr>
          <a:cxnSpLocks noChangeShapeType="1"/>
          <a:stCxn id="7288078" idx="6"/>
          <a:endCxn id="7288160" idx="0"/>
        </xdr:cNvCxnSpPr>
      </xdr:nvCxnSpPr>
      <xdr:spPr bwMode="auto">
        <a:xfrm>
          <a:off x="11815763" y="33132713"/>
          <a:ext cx="3152775" cy="72580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136</xdr:row>
      <xdr:rowOff>23813</xdr:rowOff>
    </xdr:from>
    <xdr:to>
      <xdr:col>41</xdr:col>
      <xdr:colOff>257175</xdr:colOff>
      <xdr:row>177</xdr:row>
      <xdr:rowOff>133350</xdr:rowOff>
    </xdr:to>
    <xdr:cxnSp macro="">
      <xdr:nvCxnSpPr>
        <xdr:cNvPr id="8454301" name="AutoShape 142">
          <a:extLst>
            <a:ext uri="{FF2B5EF4-FFF2-40B4-BE49-F238E27FC236}">
              <a16:creationId xmlns:a16="http://schemas.microsoft.com/office/drawing/2014/main" id="{D9451DDE-985B-489F-8990-28E615D308DA}"/>
            </a:ext>
          </a:extLst>
        </xdr:cNvPr>
        <xdr:cNvCxnSpPr>
          <a:cxnSpLocks noChangeShapeType="1"/>
          <a:stCxn id="7288082" idx="6"/>
          <a:endCxn id="7288160" idx="0"/>
        </xdr:cNvCxnSpPr>
      </xdr:nvCxnSpPr>
      <xdr:spPr bwMode="auto">
        <a:xfrm>
          <a:off x="11815763" y="33642300"/>
          <a:ext cx="3152775" cy="674846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139</xdr:row>
      <xdr:rowOff>204788</xdr:rowOff>
    </xdr:from>
    <xdr:to>
      <xdr:col>41</xdr:col>
      <xdr:colOff>257175</xdr:colOff>
      <xdr:row>177</xdr:row>
      <xdr:rowOff>133350</xdr:rowOff>
    </xdr:to>
    <xdr:cxnSp macro="">
      <xdr:nvCxnSpPr>
        <xdr:cNvPr id="8454302" name="AutoShape 143">
          <a:extLst>
            <a:ext uri="{FF2B5EF4-FFF2-40B4-BE49-F238E27FC236}">
              <a16:creationId xmlns:a16="http://schemas.microsoft.com/office/drawing/2014/main" id="{AAACDDA7-363F-4003-B4FC-54ECE5DAD036}"/>
            </a:ext>
          </a:extLst>
        </xdr:cNvPr>
        <xdr:cNvCxnSpPr>
          <a:cxnSpLocks noChangeShapeType="1"/>
          <a:stCxn id="7288086" idx="6"/>
          <a:endCxn id="7288160" idx="0"/>
        </xdr:cNvCxnSpPr>
      </xdr:nvCxnSpPr>
      <xdr:spPr bwMode="auto">
        <a:xfrm>
          <a:off x="11815763" y="34266188"/>
          <a:ext cx="3152775" cy="61245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0</xdr:colOff>
      <xdr:row>143</xdr:row>
      <xdr:rowOff>152400</xdr:rowOff>
    </xdr:from>
    <xdr:to>
      <xdr:col>41</xdr:col>
      <xdr:colOff>257175</xdr:colOff>
      <xdr:row>177</xdr:row>
      <xdr:rowOff>133350</xdr:rowOff>
    </xdr:to>
    <xdr:cxnSp macro="">
      <xdr:nvCxnSpPr>
        <xdr:cNvPr id="8454303" name="AutoShape 144">
          <a:extLst>
            <a:ext uri="{FF2B5EF4-FFF2-40B4-BE49-F238E27FC236}">
              <a16:creationId xmlns:a16="http://schemas.microsoft.com/office/drawing/2014/main" id="{F66D66CC-E95A-4949-B8AF-535F0F574155}"/>
            </a:ext>
          </a:extLst>
        </xdr:cNvPr>
        <xdr:cNvCxnSpPr>
          <a:cxnSpLocks noChangeShapeType="1"/>
          <a:stCxn id="7288090" idx="6"/>
          <a:endCxn id="7288160" idx="0"/>
        </xdr:cNvCxnSpPr>
      </xdr:nvCxnSpPr>
      <xdr:spPr bwMode="auto">
        <a:xfrm>
          <a:off x="11815763" y="34904363"/>
          <a:ext cx="3152775" cy="548640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252413</xdr:colOff>
      <xdr:row>179</xdr:row>
      <xdr:rowOff>23813</xdr:rowOff>
    </xdr:from>
    <xdr:to>
      <xdr:col>41</xdr:col>
      <xdr:colOff>257175</xdr:colOff>
      <xdr:row>194</xdr:row>
      <xdr:rowOff>152400</xdr:rowOff>
    </xdr:to>
    <xdr:cxnSp macro="">
      <xdr:nvCxnSpPr>
        <xdr:cNvPr id="8454304" name="AutoShape 145">
          <a:extLst>
            <a:ext uri="{FF2B5EF4-FFF2-40B4-BE49-F238E27FC236}">
              <a16:creationId xmlns:a16="http://schemas.microsoft.com/office/drawing/2014/main" id="{EF31FD09-F89C-49B1-A5AB-D6A52C708222}"/>
            </a:ext>
          </a:extLst>
        </xdr:cNvPr>
        <xdr:cNvCxnSpPr>
          <a:cxnSpLocks noChangeShapeType="1"/>
          <a:stCxn id="7288050" idx="6"/>
          <a:endCxn id="7288160" idx="4"/>
        </xdr:cNvCxnSpPr>
      </xdr:nvCxnSpPr>
      <xdr:spPr bwMode="auto">
        <a:xfrm flipV="1">
          <a:off x="10958513" y="40605075"/>
          <a:ext cx="4010025" cy="255746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252413</xdr:colOff>
      <xdr:row>179</xdr:row>
      <xdr:rowOff>23813</xdr:rowOff>
    </xdr:from>
    <xdr:to>
      <xdr:col>41</xdr:col>
      <xdr:colOff>257175</xdr:colOff>
      <xdr:row>192</xdr:row>
      <xdr:rowOff>23813</xdr:rowOff>
    </xdr:to>
    <xdr:cxnSp macro="">
      <xdr:nvCxnSpPr>
        <xdr:cNvPr id="8454305" name="AutoShape 146">
          <a:extLst>
            <a:ext uri="{FF2B5EF4-FFF2-40B4-BE49-F238E27FC236}">
              <a16:creationId xmlns:a16="http://schemas.microsoft.com/office/drawing/2014/main" id="{C009AAEA-9BD6-4F2F-8204-F1D04725678D}"/>
            </a:ext>
          </a:extLst>
        </xdr:cNvPr>
        <xdr:cNvCxnSpPr>
          <a:cxnSpLocks noChangeShapeType="1"/>
          <a:stCxn id="7288047" idx="6"/>
          <a:endCxn id="7288160" idx="4"/>
        </xdr:cNvCxnSpPr>
      </xdr:nvCxnSpPr>
      <xdr:spPr bwMode="auto">
        <a:xfrm flipV="1">
          <a:off x="10958513" y="40605075"/>
          <a:ext cx="4010025" cy="21050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252413</xdr:colOff>
      <xdr:row>179</xdr:row>
      <xdr:rowOff>23813</xdr:rowOff>
    </xdr:from>
    <xdr:to>
      <xdr:col>41</xdr:col>
      <xdr:colOff>257175</xdr:colOff>
      <xdr:row>188</xdr:row>
      <xdr:rowOff>152400</xdr:rowOff>
    </xdr:to>
    <xdr:cxnSp macro="">
      <xdr:nvCxnSpPr>
        <xdr:cNvPr id="8454306" name="AutoShape 147">
          <a:extLst>
            <a:ext uri="{FF2B5EF4-FFF2-40B4-BE49-F238E27FC236}">
              <a16:creationId xmlns:a16="http://schemas.microsoft.com/office/drawing/2014/main" id="{B5400A81-E67F-47FC-8577-D23AA86D0F4D}"/>
            </a:ext>
          </a:extLst>
        </xdr:cNvPr>
        <xdr:cNvCxnSpPr>
          <a:cxnSpLocks noChangeShapeType="1"/>
          <a:stCxn id="7288039" idx="6"/>
          <a:endCxn id="7288160" idx="4"/>
        </xdr:cNvCxnSpPr>
      </xdr:nvCxnSpPr>
      <xdr:spPr bwMode="auto">
        <a:xfrm flipV="1">
          <a:off x="10958513" y="40605075"/>
          <a:ext cx="4010025" cy="158591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271463</xdr:colOff>
      <xdr:row>179</xdr:row>
      <xdr:rowOff>23813</xdr:rowOff>
    </xdr:from>
    <xdr:to>
      <xdr:col>41</xdr:col>
      <xdr:colOff>257175</xdr:colOff>
      <xdr:row>185</xdr:row>
      <xdr:rowOff>190500</xdr:rowOff>
    </xdr:to>
    <xdr:cxnSp macro="">
      <xdr:nvCxnSpPr>
        <xdr:cNvPr id="8454307" name="AutoShape 148">
          <a:extLst>
            <a:ext uri="{FF2B5EF4-FFF2-40B4-BE49-F238E27FC236}">
              <a16:creationId xmlns:a16="http://schemas.microsoft.com/office/drawing/2014/main" id="{0BF5D77F-4831-4406-8954-C52404708088}"/>
            </a:ext>
          </a:extLst>
        </xdr:cNvPr>
        <xdr:cNvCxnSpPr>
          <a:cxnSpLocks noChangeShapeType="1"/>
          <a:stCxn id="7288036" idx="6"/>
          <a:endCxn id="7288160" idx="4"/>
        </xdr:cNvCxnSpPr>
      </xdr:nvCxnSpPr>
      <xdr:spPr bwMode="auto">
        <a:xfrm flipV="1">
          <a:off x="10958513" y="40605075"/>
          <a:ext cx="4010025" cy="1109663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271463</xdr:colOff>
      <xdr:row>179</xdr:row>
      <xdr:rowOff>23813</xdr:rowOff>
    </xdr:from>
    <xdr:to>
      <xdr:col>41</xdr:col>
      <xdr:colOff>257175</xdr:colOff>
      <xdr:row>183</xdr:row>
      <xdr:rowOff>0</xdr:rowOff>
    </xdr:to>
    <xdr:cxnSp macro="">
      <xdr:nvCxnSpPr>
        <xdr:cNvPr id="8454308" name="AutoShape 149">
          <a:extLst>
            <a:ext uri="{FF2B5EF4-FFF2-40B4-BE49-F238E27FC236}">
              <a16:creationId xmlns:a16="http://schemas.microsoft.com/office/drawing/2014/main" id="{CBA29878-32FB-440D-918E-D9D545461ADE}"/>
            </a:ext>
          </a:extLst>
        </xdr:cNvPr>
        <xdr:cNvCxnSpPr>
          <a:cxnSpLocks noChangeShapeType="1"/>
          <a:stCxn id="7288035" idx="6"/>
          <a:endCxn id="7288160" idx="4"/>
        </xdr:cNvCxnSpPr>
      </xdr:nvCxnSpPr>
      <xdr:spPr bwMode="auto">
        <a:xfrm flipV="1">
          <a:off x="10958513" y="40605075"/>
          <a:ext cx="4010025" cy="6238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176213</xdr:colOff>
      <xdr:row>179</xdr:row>
      <xdr:rowOff>23813</xdr:rowOff>
    </xdr:from>
    <xdr:to>
      <xdr:col>41</xdr:col>
      <xdr:colOff>257175</xdr:colOff>
      <xdr:row>180</xdr:row>
      <xdr:rowOff>23813</xdr:rowOff>
    </xdr:to>
    <xdr:cxnSp macro="">
      <xdr:nvCxnSpPr>
        <xdr:cNvPr id="8454309" name="AutoShape 150">
          <a:extLst>
            <a:ext uri="{FF2B5EF4-FFF2-40B4-BE49-F238E27FC236}">
              <a16:creationId xmlns:a16="http://schemas.microsoft.com/office/drawing/2014/main" id="{47175CDE-27C8-4E74-AC7C-C2263D733962}"/>
            </a:ext>
          </a:extLst>
        </xdr:cNvPr>
        <xdr:cNvCxnSpPr>
          <a:cxnSpLocks noChangeShapeType="1"/>
          <a:stCxn id="7288060" idx="6"/>
          <a:endCxn id="7288160" idx="4"/>
        </xdr:cNvCxnSpPr>
      </xdr:nvCxnSpPr>
      <xdr:spPr bwMode="auto">
        <a:xfrm flipV="1">
          <a:off x="10920413" y="40605075"/>
          <a:ext cx="4048125" cy="1619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176213</xdr:colOff>
      <xdr:row>175</xdr:row>
      <xdr:rowOff>204788</xdr:rowOff>
    </xdr:from>
    <xdr:to>
      <xdr:col>41</xdr:col>
      <xdr:colOff>257175</xdr:colOff>
      <xdr:row>177</xdr:row>
      <xdr:rowOff>133350</xdr:rowOff>
    </xdr:to>
    <xdr:cxnSp macro="">
      <xdr:nvCxnSpPr>
        <xdr:cNvPr id="8454310" name="AutoShape 151">
          <a:extLst>
            <a:ext uri="{FF2B5EF4-FFF2-40B4-BE49-F238E27FC236}">
              <a16:creationId xmlns:a16="http://schemas.microsoft.com/office/drawing/2014/main" id="{B791BF33-B348-44AD-8EFE-7BEA1D13E6E4}"/>
            </a:ext>
          </a:extLst>
        </xdr:cNvPr>
        <xdr:cNvCxnSpPr>
          <a:cxnSpLocks noChangeShapeType="1"/>
          <a:stCxn id="7288057" idx="6"/>
          <a:endCxn id="7288160" idx="0"/>
        </xdr:cNvCxnSpPr>
      </xdr:nvCxnSpPr>
      <xdr:spPr bwMode="auto">
        <a:xfrm>
          <a:off x="10920413" y="40095488"/>
          <a:ext cx="4048125" cy="2952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28</xdr:col>
      <xdr:colOff>10104</xdr:colOff>
      <xdr:row>146</xdr:row>
      <xdr:rowOff>8890</xdr:rowOff>
    </xdr:from>
    <xdr:to>
      <xdr:col>29</xdr:col>
      <xdr:colOff>1321</xdr:colOff>
      <xdr:row>147</xdr:row>
      <xdr:rowOff>150808</xdr:rowOff>
    </xdr:to>
    <xdr:sp macro="" textlink="">
      <xdr:nvSpPr>
        <xdr:cNvPr id="7288179" name="Oval 152">
          <a:extLst>
            <a:ext uri="{FF2B5EF4-FFF2-40B4-BE49-F238E27FC236}">
              <a16:creationId xmlns:a16="http://schemas.microsoft.com/office/drawing/2014/main" id="{BA1B778C-5A97-4D00-86B6-FA0EE84AF750}"/>
            </a:ext>
          </a:extLst>
        </xdr:cNvPr>
        <xdr:cNvSpPr>
          <a:spLocks noChangeArrowheads="1"/>
        </xdr:cNvSpPr>
      </xdr:nvSpPr>
      <xdr:spPr bwMode="auto">
        <a:xfrm>
          <a:off x="12255500" y="35560000"/>
          <a:ext cx="2413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12644</xdr:colOff>
      <xdr:row>146</xdr:row>
      <xdr:rowOff>8890</xdr:rowOff>
    </xdr:from>
    <xdr:to>
      <xdr:col>25</xdr:col>
      <xdr:colOff>1637</xdr:colOff>
      <xdr:row>147</xdr:row>
      <xdr:rowOff>150808</xdr:rowOff>
    </xdr:to>
    <xdr:sp macro="" textlink="">
      <xdr:nvSpPr>
        <xdr:cNvPr id="7288180" name="Oval 153">
          <a:extLst>
            <a:ext uri="{FF2B5EF4-FFF2-40B4-BE49-F238E27FC236}">
              <a16:creationId xmlns:a16="http://schemas.microsoft.com/office/drawing/2014/main" id="{79EA96ED-BD64-455B-A726-B3F767145F65}"/>
            </a:ext>
          </a:extLst>
        </xdr:cNvPr>
        <xdr:cNvSpPr>
          <a:spLocks noChangeArrowheads="1"/>
        </xdr:cNvSpPr>
      </xdr:nvSpPr>
      <xdr:spPr bwMode="auto">
        <a:xfrm>
          <a:off x="11328400" y="355600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271463</xdr:colOff>
      <xdr:row>146</xdr:row>
      <xdr:rowOff>228600</xdr:rowOff>
    </xdr:from>
    <xdr:to>
      <xdr:col>27</xdr:col>
      <xdr:colOff>252413</xdr:colOff>
      <xdr:row>146</xdr:row>
      <xdr:rowOff>228600</xdr:rowOff>
    </xdr:to>
    <xdr:cxnSp macro="">
      <xdr:nvCxnSpPr>
        <xdr:cNvPr id="8454313" name="AutoShape 154">
          <a:extLst>
            <a:ext uri="{FF2B5EF4-FFF2-40B4-BE49-F238E27FC236}">
              <a16:creationId xmlns:a16="http://schemas.microsoft.com/office/drawing/2014/main" id="{8845EB06-52CF-400E-B3D4-1C7EDDCAD2CF}"/>
            </a:ext>
          </a:extLst>
        </xdr:cNvPr>
        <xdr:cNvCxnSpPr>
          <a:cxnSpLocks noChangeShapeType="1"/>
          <a:stCxn id="7288180" idx="6"/>
          <a:endCxn id="7288179" idx="2"/>
        </xdr:cNvCxnSpPr>
      </xdr:nvCxnSpPr>
      <xdr:spPr bwMode="auto">
        <a:xfrm>
          <a:off x="10958513" y="35399663"/>
          <a:ext cx="642937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150813</xdr:colOff>
      <xdr:row>145</xdr:row>
      <xdr:rowOff>92561</xdr:rowOff>
    </xdr:from>
    <xdr:ext cx="303673" cy="170560"/>
    <xdr:sp macro="" textlink="">
      <xdr:nvSpPr>
        <xdr:cNvPr id="10395" name="Text Box 155">
          <a:extLst>
            <a:ext uri="{FF2B5EF4-FFF2-40B4-BE49-F238E27FC236}">
              <a16:creationId xmlns:a16="http://schemas.microsoft.com/office/drawing/2014/main" id="{C2F26CE2-CEF2-4C65-8CB9-1D26B811A589}"/>
            </a:ext>
          </a:extLst>
        </xdr:cNvPr>
        <xdr:cNvSpPr txBox="1">
          <a:spLocks noChangeArrowheads="1"/>
        </xdr:cNvSpPr>
      </xdr:nvSpPr>
      <xdr:spPr bwMode="auto">
        <a:xfrm>
          <a:off x="11115769" y="3515016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1.1.8</a:t>
          </a:r>
        </a:p>
      </xdr:txBody>
    </xdr:sp>
    <xdr:clientData/>
  </xdr:oneCellAnchor>
  <xdr:twoCellAnchor>
    <xdr:from>
      <xdr:col>21</xdr:col>
      <xdr:colOff>157163</xdr:colOff>
      <xdr:row>146</xdr:row>
      <xdr:rowOff>228600</xdr:rowOff>
    </xdr:from>
    <xdr:to>
      <xdr:col>23</xdr:col>
      <xdr:colOff>247650</xdr:colOff>
      <xdr:row>157</xdr:row>
      <xdr:rowOff>95250</xdr:rowOff>
    </xdr:to>
    <xdr:cxnSp macro="">
      <xdr:nvCxnSpPr>
        <xdr:cNvPr id="8454315" name="AutoShape 156">
          <a:extLst>
            <a:ext uri="{FF2B5EF4-FFF2-40B4-BE49-F238E27FC236}">
              <a16:creationId xmlns:a16="http://schemas.microsoft.com/office/drawing/2014/main" id="{0E2F8D02-77E5-4E46-B0D9-FFCC7AD911CA}"/>
            </a:ext>
          </a:extLst>
        </xdr:cNvPr>
        <xdr:cNvCxnSpPr>
          <a:cxnSpLocks noChangeShapeType="1"/>
          <a:stCxn id="7288118" idx="0"/>
          <a:endCxn id="7288180" idx="2"/>
        </xdr:cNvCxnSpPr>
      </xdr:nvCxnSpPr>
      <xdr:spPr bwMode="auto">
        <a:xfrm rot="-5400000">
          <a:off x="9644063" y="36014025"/>
          <a:ext cx="1714500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6984</xdr:colOff>
      <xdr:row>146</xdr:row>
      <xdr:rowOff>8890</xdr:rowOff>
    </xdr:from>
    <xdr:to>
      <xdr:col>33</xdr:col>
      <xdr:colOff>56617</xdr:colOff>
      <xdr:row>147</xdr:row>
      <xdr:rowOff>150808</xdr:rowOff>
    </xdr:to>
    <xdr:sp macro="" textlink="">
      <xdr:nvSpPr>
        <xdr:cNvPr id="7288184" name="Oval 157">
          <a:extLst>
            <a:ext uri="{FF2B5EF4-FFF2-40B4-BE49-F238E27FC236}">
              <a16:creationId xmlns:a16="http://schemas.microsoft.com/office/drawing/2014/main" id="{0785D8D4-67A4-4E70-A722-4DC241BAC446}"/>
            </a:ext>
          </a:extLst>
        </xdr:cNvPr>
        <xdr:cNvSpPr>
          <a:spLocks noChangeArrowheads="1"/>
        </xdr:cNvSpPr>
      </xdr:nvSpPr>
      <xdr:spPr bwMode="auto">
        <a:xfrm>
          <a:off x="13271500" y="355600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271463</xdr:colOff>
      <xdr:row>146</xdr:row>
      <xdr:rowOff>228600</xdr:rowOff>
    </xdr:from>
    <xdr:to>
      <xdr:col>32</xdr:col>
      <xdr:colOff>9525</xdr:colOff>
      <xdr:row>146</xdr:row>
      <xdr:rowOff>228600</xdr:rowOff>
    </xdr:to>
    <xdr:cxnSp macro="">
      <xdr:nvCxnSpPr>
        <xdr:cNvPr id="8454317" name="AutoShape 158">
          <a:extLst>
            <a:ext uri="{FF2B5EF4-FFF2-40B4-BE49-F238E27FC236}">
              <a16:creationId xmlns:a16="http://schemas.microsoft.com/office/drawing/2014/main" id="{FA648E03-D852-4C36-9A1B-331AD256D1DC}"/>
            </a:ext>
          </a:extLst>
        </xdr:cNvPr>
        <xdr:cNvCxnSpPr>
          <a:cxnSpLocks noChangeShapeType="1"/>
          <a:stCxn id="7288179" idx="6"/>
          <a:endCxn id="7288184" idx="2"/>
        </xdr:cNvCxnSpPr>
      </xdr:nvCxnSpPr>
      <xdr:spPr bwMode="auto">
        <a:xfrm>
          <a:off x="11815763" y="35399663"/>
          <a:ext cx="68580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43498</xdr:colOff>
      <xdr:row>149</xdr:row>
      <xdr:rowOff>29846</xdr:rowOff>
    </xdr:from>
    <xdr:to>
      <xdr:col>33</xdr:col>
      <xdr:colOff>47675</xdr:colOff>
      <xdr:row>150</xdr:row>
      <xdr:rowOff>154306</xdr:rowOff>
    </xdr:to>
    <xdr:sp macro="" textlink="">
      <xdr:nvSpPr>
        <xdr:cNvPr id="7288186" name="Oval 159">
          <a:extLst>
            <a:ext uri="{FF2B5EF4-FFF2-40B4-BE49-F238E27FC236}">
              <a16:creationId xmlns:a16="http://schemas.microsoft.com/office/drawing/2014/main" id="{ED365F2C-ECA1-4C4A-8AD7-747A79C94EA3}"/>
            </a:ext>
          </a:extLst>
        </xdr:cNvPr>
        <xdr:cNvSpPr>
          <a:spLocks noChangeArrowheads="1"/>
        </xdr:cNvSpPr>
      </xdr:nvSpPr>
      <xdr:spPr bwMode="auto">
        <a:xfrm>
          <a:off x="13284200" y="360553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109538</xdr:colOff>
      <xdr:row>147</xdr:row>
      <xdr:rowOff>190500</xdr:rowOff>
    </xdr:from>
    <xdr:to>
      <xdr:col>32</xdr:col>
      <xdr:colOff>38100</xdr:colOff>
      <xdr:row>149</xdr:row>
      <xdr:rowOff>228600</xdr:rowOff>
    </xdr:to>
    <xdr:cxnSp macro="">
      <xdr:nvCxnSpPr>
        <xdr:cNvPr id="8454319" name="AutoShape 160">
          <a:extLst>
            <a:ext uri="{FF2B5EF4-FFF2-40B4-BE49-F238E27FC236}">
              <a16:creationId xmlns:a16="http://schemas.microsoft.com/office/drawing/2014/main" id="{49582426-B946-45EE-ABF7-3FEF6BD3FED4}"/>
            </a:ext>
          </a:extLst>
        </xdr:cNvPr>
        <xdr:cNvCxnSpPr>
          <a:cxnSpLocks noChangeShapeType="1"/>
          <a:stCxn id="7288179" idx="4"/>
          <a:endCxn id="7288186" idx="2"/>
        </xdr:cNvCxnSpPr>
      </xdr:nvCxnSpPr>
      <xdr:spPr bwMode="auto">
        <a:xfrm rot="16200000" flipH="1">
          <a:off x="11958638" y="35313938"/>
          <a:ext cx="323850" cy="819150"/>
        </a:xfrm>
        <a:prstGeom prst="bentConnector2">
          <a:avLst/>
        </a:prstGeom>
        <a:noFill/>
        <a:ln w="9525">
          <a:solidFill>
            <a:srgbClr val="FF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33</xdr:col>
      <xdr:colOff>117793</xdr:colOff>
      <xdr:row>146</xdr:row>
      <xdr:rowOff>16287</xdr:rowOff>
    </xdr:from>
    <xdr:ext cx="374974" cy="170560"/>
    <xdr:sp macro="" textlink="">
      <xdr:nvSpPr>
        <xdr:cNvPr id="10401" name="Text Box 161">
          <a:extLst>
            <a:ext uri="{FF2B5EF4-FFF2-40B4-BE49-F238E27FC236}">
              <a16:creationId xmlns:a16="http://schemas.microsoft.com/office/drawing/2014/main" id="{321495D1-A0EC-460A-B4E5-A38D0BA4CE04}"/>
            </a:ext>
          </a:extLst>
        </xdr:cNvPr>
        <xdr:cNvSpPr txBox="1">
          <a:spLocks noChangeArrowheads="1"/>
        </xdr:cNvSpPr>
      </xdr:nvSpPr>
      <xdr:spPr bwMode="auto">
        <a:xfrm>
          <a:off x="12853279" y="35236375"/>
          <a:ext cx="374974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1.1.11</a:t>
          </a:r>
        </a:p>
      </xdr:txBody>
    </xdr:sp>
    <xdr:clientData/>
  </xdr:oneCellAnchor>
  <xdr:oneCellAnchor>
    <xdr:from>
      <xdr:col>29</xdr:col>
      <xdr:colOff>155893</xdr:colOff>
      <xdr:row>148</xdr:row>
      <xdr:rowOff>108753</xdr:rowOff>
    </xdr:from>
    <xdr:ext cx="374974" cy="170560"/>
    <xdr:sp macro="" textlink="">
      <xdr:nvSpPr>
        <xdr:cNvPr id="10402" name="Text Box 162">
          <a:extLst>
            <a:ext uri="{FF2B5EF4-FFF2-40B4-BE49-F238E27FC236}">
              <a16:creationId xmlns:a16="http://schemas.microsoft.com/office/drawing/2014/main" id="{39DA3354-C821-4163-AE67-1ED9D4F64BD6}"/>
            </a:ext>
          </a:extLst>
        </xdr:cNvPr>
        <xdr:cNvSpPr txBox="1">
          <a:spLocks noChangeArrowheads="1"/>
        </xdr:cNvSpPr>
      </xdr:nvSpPr>
      <xdr:spPr bwMode="auto">
        <a:xfrm>
          <a:off x="11972497" y="35653812"/>
          <a:ext cx="374974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1.1.10</a:t>
          </a:r>
        </a:p>
      </xdr:txBody>
    </xdr:sp>
    <xdr:clientData/>
  </xdr:oneCellAnchor>
  <xdr:twoCellAnchor>
    <xdr:from>
      <xdr:col>36</xdr:col>
      <xdr:colOff>0</xdr:colOff>
      <xdr:row>146</xdr:row>
      <xdr:rowOff>35877</xdr:rowOff>
    </xdr:from>
    <xdr:to>
      <xdr:col>37</xdr:col>
      <xdr:colOff>23985</xdr:colOff>
      <xdr:row>147</xdr:row>
      <xdr:rowOff>149137</xdr:rowOff>
    </xdr:to>
    <xdr:sp macro="" textlink="">
      <xdr:nvSpPr>
        <xdr:cNvPr id="7288190" name="Oval 163">
          <a:extLst>
            <a:ext uri="{FF2B5EF4-FFF2-40B4-BE49-F238E27FC236}">
              <a16:creationId xmlns:a16="http://schemas.microsoft.com/office/drawing/2014/main" id="{F7218A3B-3DAE-4014-8F8B-F300D833F99E}"/>
            </a:ext>
          </a:extLst>
        </xdr:cNvPr>
        <xdr:cNvSpPr>
          <a:spLocks noChangeArrowheads="1"/>
        </xdr:cNvSpPr>
      </xdr:nvSpPr>
      <xdr:spPr bwMode="auto">
        <a:xfrm>
          <a:off x="14325600" y="355727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36</xdr:col>
      <xdr:colOff>0</xdr:colOff>
      <xdr:row>149</xdr:row>
      <xdr:rowOff>29846</xdr:rowOff>
    </xdr:from>
    <xdr:to>
      <xdr:col>37</xdr:col>
      <xdr:colOff>23985</xdr:colOff>
      <xdr:row>150</xdr:row>
      <xdr:rowOff>154306</xdr:rowOff>
    </xdr:to>
    <xdr:sp macro="" textlink="">
      <xdr:nvSpPr>
        <xdr:cNvPr id="7288191" name="Oval 164">
          <a:extLst>
            <a:ext uri="{FF2B5EF4-FFF2-40B4-BE49-F238E27FC236}">
              <a16:creationId xmlns:a16="http://schemas.microsoft.com/office/drawing/2014/main" id="{D66E282C-FFD5-47B8-B830-854FE8A2FBAA}"/>
            </a:ext>
          </a:extLst>
        </xdr:cNvPr>
        <xdr:cNvSpPr>
          <a:spLocks noChangeArrowheads="1"/>
        </xdr:cNvSpPr>
      </xdr:nvSpPr>
      <xdr:spPr bwMode="auto">
        <a:xfrm>
          <a:off x="14325600" y="36055300"/>
          <a:ext cx="2794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33</xdr:col>
      <xdr:colOff>38100</xdr:colOff>
      <xdr:row>146</xdr:row>
      <xdr:rowOff>228600</xdr:rowOff>
    </xdr:from>
    <xdr:to>
      <xdr:col>36</xdr:col>
      <xdr:colOff>0</xdr:colOff>
      <xdr:row>147</xdr:row>
      <xdr:rowOff>0</xdr:rowOff>
    </xdr:to>
    <xdr:cxnSp macro="">
      <xdr:nvCxnSpPr>
        <xdr:cNvPr id="8454324" name="AutoShape 165">
          <a:extLst>
            <a:ext uri="{FF2B5EF4-FFF2-40B4-BE49-F238E27FC236}">
              <a16:creationId xmlns:a16="http://schemas.microsoft.com/office/drawing/2014/main" id="{82DD6CCD-8844-4ABB-B7ED-7038E4D0F727}"/>
            </a:ext>
          </a:extLst>
        </xdr:cNvPr>
        <xdr:cNvCxnSpPr>
          <a:cxnSpLocks noChangeShapeType="1"/>
          <a:stCxn id="7288184" idx="6"/>
          <a:endCxn id="7288190" idx="2"/>
        </xdr:cNvCxnSpPr>
      </xdr:nvCxnSpPr>
      <xdr:spPr bwMode="auto">
        <a:xfrm>
          <a:off x="12777788" y="35399663"/>
          <a:ext cx="70485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57150</xdr:colOff>
      <xdr:row>149</xdr:row>
      <xdr:rowOff>228600</xdr:rowOff>
    </xdr:from>
    <xdr:to>
      <xdr:col>36</xdr:col>
      <xdr:colOff>0</xdr:colOff>
      <xdr:row>149</xdr:row>
      <xdr:rowOff>228600</xdr:rowOff>
    </xdr:to>
    <xdr:cxnSp macro="">
      <xdr:nvCxnSpPr>
        <xdr:cNvPr id="8454325" name="AutoShape 166">
          <a:extLst>
            <a:ext uri="{FF2B5EF4-FFF2-40B4-BE49-F238E27FC236}">
              <a16:creationId xmlns:a16="http://schemas.microsoft.com/office/drawing/2014/main" id="{A9BEE8C6-5E45-4490-85DD-EECC207694C0}"/>
            </a:ext>
          </a:extLst>
        </xdr:cNvPr>
        <xdr:cNvCxnSpPr>
          <a:cxnSpLocks noChangeShapeType="1"/>
          <a:stCxn id="7288186" idx="6"/>
          <a:endCxn id="7288191" idx="2"/>
        </xdr:cNvCxnSpPr>
      </xdr:nvCxnSpPr>
      <xdr:spPr bwMode="auto">
        <a:xfrm>
          <a:off x="12796838" y="35885438"/>
          <a:ext cx="68580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155893</xdr:colOff>
      <xdr:row>146</xdr:row>
      <xdr:rowOff>18228</xdr:rowOff>
    </xdr:from>
    <xdr:ext cx="303673" cy="170560"/>
    <xdr:sp macro="" textlink="">
      <xdr:nvSpPr>
        <xdr:cNvPr id="10407" name="Text Box 167">
          <a:extLst>
            <a:ext uri="{FF2B5EF4-FFF2-40B4-BE49-F238E27FC236}">
              <a16:creationId xmlns:a16="http://schemas.microsoft.com/office/drawing/2014/main" id="{BEDDCCFD-0F17-4737-B56A-8EF18309DA6A}"/>
            </a:ext>
          </a:extLst>
        </xdr:cNvPr>
        <xdr:cNvSpPr txBox="1">
          <a:spLocks noChangeArrowheads="1"/>
        </xdr:cNvSpPr>
      </xdr:nvSpPr>
      <xdr:spPr bwMode="auto">
        <a:xfrm>
          <a:off x="11972497" y="35238316"/>
          <a:ext cx="303673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1.1.9</a:t>
          </a:r>
        </a:p>
      </xdr:txBody>
    </xdr:sp>
    <xdr:clientData/>
  </xdr:oneCellAnchor>
  <xdr:oneCellAnchor>
    <xdr:from>
      <xdr:col>33</xdr:col>
      <xdr:colOff>117793</xdr:colOff>
      <xdr:row>149</xdr:row>
      <xdr:rowOff>15968</xdr:rowOff>
    </xdr:from>
    <xdr:ext cx="374974" cy="170560"/>
    <xdr:sp macro="" textlink="">
      <xdr:nvSpPr>
        <xdr:cNvPr id="10408" name="Text Box 168">
          <a:extLst>
            <a:ext uri="{FF2B5EF4-FFF2-40B4-BE49-F238E27FC236}">
              <a16:creationId xmlns:a16="http://schemas.microsoft.com/office/drawing/2014/main" id="{70337392-9658-4AFB-9821-13A09CFBE08F}"/>
            </a:ext>
          </a:extLst>
        </xdr:cNvPr>
        <xdr:cNvSpPr txBox="1">
          <a:spLocks noChangeArrowheads="1"/>
        </xdr:cNvSpPr>
      </xdr:nvSpPr>
      <xdr:spPr bwMode="auto">
        <a:xfrm>
          <a:off x="12853279" y="35723513"/>
          <a:ext cx="374974" cy="17056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1.1.12</a:t>
          </a:r>
        </a:p>
      </xdr:txBody>
    </xdr:sp>
    <xdr:clientData/>
  </xdr:oneCellAnchor>
  <xdr:twoCellAnchor>
    <xdr:from>
      <xdr:col>32</xdr:col>
      <xdr:colOff>176213</xdr:colOff>
      <xdr:row>147</xdr:row>
      <xdr:rowOff>190500</xdr:rowOff>
    </xdr:from>
    <xdr:to>
      <xdr:col>32</xdr:col>
      <xdr:colOff>209550</xdr:colOff>
      <xdr:row>149</xdr:row>
      <xdr:rowOff>23813</xdr:rowOff>
    </xdr:to>
    <xdr:cxnSp macro="">
      <xdr:nvCxnSpPr>
        <xdr:cNvPr id="8454328" name="AutoShape 169">
          <a:extLst>
            <a:ext uri="{FF2B5EF4-FFF2-40B4-BE49-F238E27FC236}">
              <a16:creationId xmlns:a16="http://schemas.microsoft.com/office/drawing/2014/main" id="{FBD7951C-31B1-4519-8460-CB201EFB2C5D}"/>
            </a:ext>
          </a:extLst>
        </xdr:cNvPr>
        <xdr:cNvCxnSpPr>
          <a:cxnSpLocks noChangeShapeType="1"/>
          <a:stCxn id="7288184" idx="4"/>
          <a:endCxn id="7288186" idx="0"/>
        </xdr:cNvCxnSpPr>
      </xdr:nvCxnSpPr>
      <xdr:spPr bwMode="auto">
        <a:xfrm>
          <a:off x="12668250" y="35561588"/>
          <a:ext cx="33338" cy="185737"/>
        </a:xfrm>
        <a:prstGeom prst="straightConnector1">
          <a:avLst/>
        </a:prstGeom>
        <a:noFill/>
        <a:ln w="9525">
          <a:solidFill>
            <a:srgbClr val="FF0000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37</xdr:col>
      <xdr:colOff>9525</xdr:colOff>
      <xdr:row>147</xdr:row>
      <xdr:rowOff>0</xdr:rowOff>
    </xdr:from>
    <xdr:to>
      <xdr:col>41</xdr:col>
      <xdr:colOff>257175</xdr:colOff>
      <xdr:row>177</xdr:row>
      <xdr:rowOff>133350</xdr:rowOff>
    </xdr:to>
    <xdr:cxnSp macro="">
      <xdr:nvCxnSpPr>
        <xdr:cNvPr id="8454329" name="AutoShape 170">
          <a:extLst>
            <a:ext uri="{FF2B5EF4-FFF2-40B4-BE49-F238E27FC236}">
              <a16:creationId xmlns:a16="http://schemas.microsoft.com/office/drawing/2014/main" id="{77280334-970C-498C-AA7D-C841C9B697FB}"/>
            </a:ext>
          </a:extLst>
        </xdr:cNvPr>
        <xdr:cNvCxnSpPr>
          <a:cxnSpLocks noChangeShapeType="1"/>
          <a:stCxn id="7288190" idx="6"/>
          <a:endCxn id="7288160" idx="0"/>
        </xdr:cNvCxnSpPr>
      </xdr:nvCxnSpPr>
      <xdr:spPr bwMode="auto">
        <a:xfrm>
          <a:off x="13739813" y="35399663"/>
          <a:ext cx="1228725" cy="499110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37</xdr:col>
      <xdr:colOff>9525</xdr:colOff>
      <xdr:row>149</xdr:row>
      <xdr:rowOff>228600</xdr:rowOff>
    </xdr:from>
    <xdr:to>
      <xdr:col>41</xdr:col>
      <xdr:colOff>257175</xdr:colOff>
      <xdr:row>177</xdr:row>
      <xdr:rowOff>133350</xdr:rowOff>
    </xdr:to>
    <xdr:cxnSp macro="">
      <xdr:nvCxnSpPr>
        <xdr:cNvPr id="8454330" name="AutoShape 171">
          <a:extLst>
            <a:ext uri="{FF2B5EF4-FFF2-40B4-BE49-F238E27FC236}">
              <a16:creationId xmlns:a16="http://schemas.microsoft.com/office/drawing/2014/main" id="{CC07098A-AB70-416B-A117-7C06B83DE62D}"/>
            </a:ext>
          </a:extLst>
        </xdr:cNvPr>
        <xdr:cNvCxnSpPr>
          <a:cxnSpLocks noChangeShapeType="1"/>
          <a:stCxn id="7288191" idx="6"/>
          <a:endCxn id="7288160" idx="0"/>
        </xdr:cNvCxnSpPr>
      </xdr:nvCxnSpPr>
      <xdr:spPr bwMode="auto">
        <a:xfrm>
          <a:off x="13739813" y="35885438"/>
          <a:ext cx="1228725" cy="45053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176212</xdr:colOff>
      <xdr:row>164</xdr:row>
      <xdr:rowOff>243</xdr:rowOff>
    </xdr:from>
    <xdr:to>
      <xdr:col>25</xdr:col>
      <xdr:colOff>166019</xdr:colOff>
      <xdr:row>165</xdr:row>
      <xdr:rowOff>38804</xdr:rowOff>
    </xdr:to>
    <xdr:sp macro="" textlink="">
      <xdr:nvSpPr>
        <xdr:cNvPr id="7288199" name="Oval 172">
          <a:extLst>
            <a:ext uri="{FF2B5EF4-FFF2-40B4-BE49-F238E27FC236}">
              <a16:creationId xmlns:a16="http://schemas.microsoft.com/office/drawing/2014/main" id="{3CD3CB85-0A03-4044-95F4-B1FA7ED2E7AA}"/>
            </a:ext>
          </a:extLst>
        </xdr:cNvPr>
        <xdr:cNvSpPr>
          <a:spLocks noChangeArrowheads="1"/>
        </xdr:cNvSpPr>
      </xdr:nvSpPr>
      <xdr:spPr bwMode="auto">
        <a:xfrm>
          <a:off x="11506200" y="38455600"/>
          <a:ext cx="2413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21</xdr:col>
      <xdr:colOff>0</xdr:colOff>
      <xdr:row>164</xdr:row>
      <xdr:rowOff>243</xdr:rowOff>
    </xdr:from>
    <xdr:to>
      <xdr:col>22</xdr:col>
      <xdr:colOff>35828</xdr:colOff>
      <xdr:row>165</xdr:row>
      <xdr:rowOff>38804</xdr:rowOff>
    </xdr:to>
    <xdr:sp macro="" textlink="">
      <xdr:nvSpPr>
        <xdr:cNvPr id="7288200" name="Oval 173">
          <a:extLst>
            <a:ext uri="{FF2B5EF4-FFF2-40B4-BE49-F238E27FC236}">
              <a16:creationId xmlns:a16="http://schemas.microsoft.com/office/drawing/2014/main" id="{CE6C570C-ED00-4E1E-8702-4C528C55EF8B}"/>
            </a:ext>
          </a:extLst>
        </xdr:cNvPr>
        <xdr:cNvSpPr>
          <a:spLocks noChangeArrowheads="1"/>
        </xdr:cNvSpPr>
      </xdr:nvSpPr>
      <xdr:spPr bwMode="auto">
        <a:xfrm>
          <a:off x="10706100" y="38455600"/>
          <a:ext cx="2540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22</xdr:col>
      <xdr:colOff>38100</xdr:colOff>
      <xdr:row>164</xdr:row>
      <xdr:rowOff>95250</xdr:rowOff>
    </xdr:from>
    <xdr:to>
      <xdr:col>24</xdr:col>
      <xdr:colOff>157163</xdr:colOff>
      <xdr:row>164</xdr:row>
      <xdr:rowOff>95250</xdr:rowOff>
    </xdr:to>
    <xdr:cxnSp macro="">
      <xdr:nvCxnSpPr>
        <xdr:cNvPr id="8454333" name="AutoShape 174">
          <a:extLst>
            <a:ext uri="{FF2B5EF4-FFF2-40B4-BE49-F238E27FC236}">
              <a16:creationId xmlns:a16="http://schemas.microsoft.com/office/drawing/2014/main" id="{86FA93F2-6A30-4675-B638-775753A3EF18}"/>
            </a:ext>
          </a:extLst>
        </xdr:cNvPr>
        <xdr:cNvCxnSpPr>
          <a:cxnSpLocks noChangeShapeType="1"/>
          <a:stCxn id="7288200" idx="6"/>
          <a:endCxn id="7288199" idx="2"/>
        </xdr:cNvCxnSpPr>
      </xdr:nvCxnSpPr>
      <xdr:spPr bwMode="auto">
        <a:xfrm>
          <a:off x="10353675" y="38247638"/>
          <a:ext cx="547688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22</xdr:col>
      <xdr:colOff>109220</xdr:colOff>
      <xdr:row>163</xdr:row>
      <xdr:rowOff>59540</xdr:rowOff>
    </xdr:from>
    <xdr:ext cx="303673" cy="170560"/>
    <xdr:sp macro="" textlink="">
      <xdr:nvSpPr>
        <xdr:cNvPr id="10415" name="Text Box 175">
          <a:extLst>
            <a:ext uri="{FF2B5EF4-FFF2-40B4-BE49-F238E27FC236}">
              <a16:creationId xmlns:a16="http://schemas.microsoft.com/office/drawing/2014/main" id="{7B983E83-79D1-4777-BEF1-366F29CA246F}"/>
            </a:ext>
          </a:extLst>
        </xdr:cNvPr>
        <xdr:cNvSpPr txBox="1">
          <a:spLocks noChangeArrowheads="1"/>
        </xdr:cNvSpPr>
      </xdr:nvSpPr>
      <xdr:spPr bwMode="auto">
        <a:xfrm>
          <a:off x="10435441" y="3804187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1.2.6</a:t>
          </a:r>
        </a:p>
      </xdr:txBody>
    </xdr:sp>
    <xdr:clientData/>
  </xdr:oneCellAnchor>
  <xdr:twoCellAnchor>
    <xdr:from>
      <xdr:col>28</xdr:col>
      <xdr:colOff>162560</xdr:colOff>
      <xdr:row>164</xdr:row>
      <xdr:rowOff>243</xdr:rowOff>
    </xdr:from>
    <xdr:to>
      <xdr:col>29</xdr:col>
      <xdr:colOff>191031</xdr:colOff>
      <xdr:row>165</xdr:row>
      <xdr:rowOff>38804</xdr:rowOff>
    </xdr:to>
    <xdr:sp macro="" textlink="">
      <xdr:nvSpPr>
        <xdr:cNvPr id="7288203" name="Oval 176">
          <a:extLst>
            <a:ext uri="{FF2B5EF4-FFF2-40B4-BE49-F238E27FC236}">
              <a16:creationId xmlns:a16="http://schemas.microsoft.com/office/drawing/2014/main" id="{87A8D8CD-E7FB-422D-9E4D-C3045DA35DF1}"/>
            </a:ext>
          </a:extLst>
        </xdr:cNvPr>
        <xdr:cNvSpPr>
          <a:spLocks noChangeArrowheads="1"/>
        </xdr:cNvSpPr>
      </xdr:nvSpPr>
      <xdr:spPr bwMode="auto">
        <a:xfrm>
          <a:off x="12407900" y="38455600"/>
          <a:ext cx="2540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32</xdr:col>
      <xdr:colOff>2278</xdr:colOff>
      <xdr:row>164</xdr:row>
      <xdr:rowOff>243</xdr:rowOff>
    </xdr:from>
    <xdr:to>
      <xdr:col>33</xdr:col>
      <xdr:colOff>49036</xdr:colOff>
      <xdr:row>165</xdr:row>
      <xdr:rowOff>38804</xdr:rowOff>
    </xdr:to>
    <xdr:sp macro="" textlink="">
      <xdr:nvSpPr>
        <xdr:cNvPr id="7288204" name="Oval 177">
          <a:extLst>
            <a:ext uri="{FF2B5EF4-FFF2-40B4-BE49-F238E27FC236}">
              <a16:creationId xmlns:a16="http://schemas.microsoft.com/office/drawing/2014/main" id="{EFF01A11-23CE-47EC-9C06-0F4B42DAC936}"/>
            </a:ext>
          </a:extLst>
        </xdr:cNvPr>
        <xdr:cNvSpPr>
          <a:spLocks noChangeArrowheads="1"/>
        </xdr:cNvSpPr>
      </xdr:nvSpPr>
      <xdr:spPr bwMode="auto">
        <a:xfrm>
          <a:off x="13195300" y="38455600"/>
          <a:ext cx="3683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25</xdr:col>
      <xdr:colOff>176213</xdr:colOff>
      <xdr:row>164</xdr:row>
      <xdr:rowOff>95250</xdr:rowOff>
    </xdr:from>
    <xdr:to>
      <xdr:col>28</xdr:col>
      <xdr:colOff>152400</xdr:colOff>
      <xdr:row>164</xdr:row>
      <xdr:rowOff>95250</xdr:rowOff>
    </xdr:to>
    <xdr:cxnSp macro="">
      <xdr:nvCxnSpPr>
        <xdr:cNvPr id="8454337" name="AutoShape 178">
          <a:extLst>
            <a:ext uri="{FF2B5EF4-FFF2-40B4-BE49-F238E27FC236}">
              <a16:creationId xmlns:a16="http://schemas.microsoft.com/office/drawing/2014/main" id="{8CA50FEC-DA0F-4490-A3FA-167341F8F5F5}"/>
            </a:ext>
          </a:extLst>
        </xdr:cNvPr>
        <xdr:cNvCxnSpPr>
          <a:cxnSpLocks noChangeShapeType="1"/>
          <a:stCxn id="7288199" idx="6"/>
          <a:endCxn id="7288203" idx="2"/>
        </xdr:cNvCxnSpPr>
      </xdr:nvCxnSpPr>
      <xdr:spPr bwMode="auto">
        <a:xfrm>
          <a:off x="11134725" y="38247638"/>
          <a:ext cx="61912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176213</xdr:colOff>
      <xdr:row>164</xdr:row>
      <xdr:rowOff>95250</xdr:rowOff>
    </xdr:from>
    <xdr:to>
      <xdr:col>31</xdr:col>
      <xdr:colOff>304800</xdr:colOff>
      <xdr:row>164</xdr:row>
      <xdr:rowOff>95250</xdr:rowOff>
    </xdr:to>
    <xdr:cxnSp macro="">
      <xdr:nvCxnSpPr>
        <xdr:cNvPr id="8454338" name="AutoShape 179">
          <a:extLst>
            <a:ext uri="{FF2B5EF4-FFF2-40B4-BE49-F238E27FC236}">
              <a16:creationId xmlns:a16="http://schemas.microsoft.com/office/drawing/2014/main" id="{C3A8C7CB-FC0B-4FB7-950D-E772614F6FF5}"/>
            </a:ext>
          </a:extLst>
        </xdr:cNvPr>
        <xdr:cNvCxnSpPr>
          <a:cxnSpLocks noChangeShapeType="1"/>
          <a:stCxn id="7288203" idx="6"/>
          <a:endCxn id="7288204" idx="2"/>
        </xdr:cNvCxnSpPr>
      </xdr:nvCxnSpPr>
      <xdr:spPr bwMode="auto">
        <a:xfrm>
          <a:off x="11991975" y="38247638"/>
          <a:ext cx="500063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200978</xdr:colOff>
      <xdr:row>163</xdr:row>
      <xdr:rowOff>57635</xdr:rowOff>
    </xdr:from>
    <xdr:ext cx="303673" cy="170560"/>
    <xdr:sp macro="" textlink="">
      <xdr:nvSpPr>
        <xdr:cNvPr id="10420" name="Text Box 180">
          <a:extLst>
            <a:ext uri="{FF2B5EF4-FFF2-40B4-BE49-F238E27FC236}">
              <a16:creationId xmlns:a16="http://schemas.microsoft.com/office/drawing/2014/main" id="{1A0E772D-6770-4862-9EC0-698CD055DC5F}"/>
            </a:ext>
          </a:extLst>
        </xdr:cNvPr>
        <xdr:cNvSpPr txBox="1">
          <a:spLocks noChangeArrowheads="1"/>
        </xdr:cNvSpPr>
      </xdr:nvSpPr>
      <xdr:spPr bwMode="auto">
        <a:xfrm>
          <a:off x="11165934" y="3803997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1.2.7</a:t>
          </a:r>
        </a:p>
      </xdr:txBody>
    </xdr:sp>
    <xdr:clientData/>
  </xdr:oneCellAnchor>
  <xdr:oneCellAnchor>
    <xdr:from>
      <xdr:col>30</xdr:col>
      <xdr:colOff>2167</xdr:colOff>
      <xdr:row>163</xdr:row>
      <xdr:rowOff>111610</xdr:rowOff>
    </xdr:from>
    <xdr:ext cx="303673" cy="170560"/>
    <xdr:sp macro="" textlink="">
      <xdr:nvSpPr>
        <xdr:cNvPr id="10421" name="Text Box 181">
          <a:extLst>
            <a:ext uri="{FF2B5EF4-FFF2-40B4-BE49-F238E27FC236}">
              <a16:creationId xmlns:a16="http://schemas.microsoft.com/office/drawing/2014/main" id="{14C4D606-46A6-4D72-B549-646F2C43DC27}"/>
            </a:ext>
          </a:extLst>
        </xdr:cNvPr>
        <xdr:cNvSpPr txBox="1">
          <a:spLocks noChangeArrowheads="1"/>
        </xdr:cNvSpPr>
      </xdr:nvSpPr>
      <xdr:spPr bwMode="auto">
        <a:xfrm>
          <a:off x="12031682" y="3809394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1.2.8</a:t>
          </a:r>
        </a:p>
      </xdr:txBody>
    </xdr:sp>
    <xdr:clientData/>
  </xdr:oneCellAnchor>
  <xdr:twoCellAnchor>
    <xdr:from>
      <xdr:col>35</xdr:col>
      <xdr:colOff>76518</xdr:colOff>
      <xdr:row>164</xdr:row>
      <xdr:rowOff>243</xdr:rowOff>
    </xdr:from>
    <xdr:to>
      <xdr:col>36</xdr:col>
      <xdr:colOff>153161</xdr:colOff>
      <xdr:row>165</xdr:row>
      <xdr:rowOff>38804</xdr:rowOff>
    </xdr:to>
    <xdr:sp macro="" textlink="">
      <xdr:nvSpPr>
        <xdr:cNvPr id="7288209" name="Oval 182">
          <a:extLst>
            <a:ext uri="{FF2B5EF4-FFF2-40B4-BE49-F238E27FC236}">
              <a16:creationId xmlns:a16="http://schemas.microsoft.com/office/drawing/2014/main" id="{03C53489-709A-40AF-8243-323837C4E7E3}"/>
            </a:ext>
          </a:extLst>
        </xdr:cNvPr>
        <xdr:cNvSpPr>
          <a:spLocks noChangeArrowheads="1"/>
        </xdr:cNvSpPr>
      </xdr:nvSpPr>
      <xdr:spPr bwMode="auto">
        <a:xfrm>
          <a:off x="14109700" y="38455600"/>
          <a:ext cx="3175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33</xdr:col>
      <xdr:colOff>57150</xdr:colOff>
      <xdr:row>164</xdr:row>
      <xdr:rowOff>95250</xdr:rowOff>
    </xdr:from>
    <xdr:to>
      <xdr:col>35</xdr:col>
      <xdr:colOff>80963</xdr:colOff>
      <xdr:row>164</xdr:row>
      <xdr:rowOff>95250</xdr:rowOff>
    </xdr:to>
    <xdr:cxnSp macro="">
      <xdr:nvCxnSpPr>
        <xdr:cNvPr id="8454342" name="AutoShape 183">
          <a:extLst>
            <a:ext uri="{FF2B5EF4-FFF2-40B4-BE49-F238E27FC236}">
              <a16:creationId xmlns:a16="http://schemas.microsoft.com/office/drawing/2014/main" id="{EE6882AF-E327-4C19-B6E1-AB41F4C78A20}"/>
            </a:ext>
          </a:extLst>
        </xdr:cNvPr>
        <xdr:cNvCxnSpPr>
          <a:cxnSpLocks noChangeShapeType="1"/>
          <a:stCxn id="7288204" idx="6"/>
          <a:endCxn id="7288209" idx="2"/>
        </xdr:cNvCxnSpPr>
      </xdr:nvCxnSpPr>
      <xdr:spPr bwMode="auto">
        <a:xfrm>
          <a:off x="12796838" y="38247638"/>
          <a:ext cx="51911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33</xdr:col>
      <xdr:colOff>207645</xdr:colOff>
      <xdr:row>163</xdr:row>
      <xdr:rowOff>116689</xdr:rowOff>
    </xdr:from>
    <xdr:ext cx="303673" cy="170560"/>
    <xdr:sp macro="" textlink="">
      <xdr:nvSpPr>
        <xdr:cNvPr id="10424" name="Text Box 184">
          <a:extLst>
            <a:ext uri="{FF2B5EF4-FFF2-40B4-BE49-F238E27FC236}">
              <a16:creationId xmlns:a16="http://schemas.microsoft.com/office/drawing/2014/main" id="{8EA6B1A6-65BA-4D82-831B-0914ECB26EB2}"/>
            </a:ext>
          </a:extLst>
        </xdr:cNvPr>
        <xdr:cNvSpPr txBox="1">
          <a:spLocks noChangeArrowheads="1"/>
        </xdr:cNvSpPr>
      </xdr:nvSpPr>
      <xdr:spPr bwMode="auto">
        <a:xfrm>
          <a:off x="12943131" y="3809902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1.2.9</a:t>
          </a:r>
        </a:p>
      </xdr:txBody>
    </xdr:sp>
    <xdr:clientData/>
  </xdr:oneCellAnchor>
  <xdr:twoCellAnchor>
    <xdr:from>
      <xdr:col>21</xdr:col>
      <xdr:colOff>157163</xdr:colOff>
      <xdr:row>159</xdr:row>
      <xdr:rowOff>23813</xdr:rowOff>
    </xdr:from>
    <xdr:to>
      <xdr:col>21</xdr:col>
      <xdr:colOff>157163</xdr:colOff>
      <xdr:row>163</xdr:row>
      <xdr:rowOff>152400</xdr:rowOff>
    </xdr:to>
    <xdr:cxnSp macro="">
      <xdr:nvCxnSpPr>
        <xdr:cNvPr id="8454344" name="AutoShape 185">
          <a:extLst>
            <a:ext uri="{FF2B5EF4-FFF2-40B4-BE49-F238E27FC236}">
              <a16:creationId xmlns:a16="http://schemas.microsoft.com/office/drawing/2014/main" id="{9726CD36-EDBF-4678-8EAB-DC38534A83B1}"/>
            </a:ext>
          </a:extLst>
        </xdr:cNvPr>
        <xdr:cNvCxnSpPr>
          <a:cxnSpLocks noChangeShapeType="1"/>
          <a:stCxn id="7288118" idx="4"/>
          <a:endCxn id="7288200" idx="0"/>
        </xdr:cNvCxnSpPr>
      </xdr:nvCxnSpPr>
      <xdr:spPr bwMode="auto">
        <a:xfrm>
          <a:off x="10258425" y="37366575"/>
          <a:ext cx="0" cy="776288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38</xdr:col>
      <xdr:colOff>136207</xdr:colOff>
      <xdr:row>164</xdr:row>
      <xdr:rowOff>243</xdr:rowOff>
    </xdr:from>
    <xdr:to>
      <xdr:col>39</xdr:col>
      <xdr:colOff>170821</xdr:colOff>
      <xdr:row>165</xdr:row>
      <xdr:rowOff>38804</xdr:rowOff>
    </xdr:to>
    <xdr:sp macro="" textlink="">
      <xdr:nvSpPr>
        <xdr:cNvPr id="7288213" name="Oval 186">
          <a:extLst>
            <a:ext uri="{FF2B5EF4-FFF2-40B4-BE49-F238E27FC236}">
              <a16:creationId xmlns:a16="http://schemas.microsoft.com/office/drawing/2014/main" id="{C6BAF807-3934-4ABE-8A1E-4CB3A2859AB0}"/>
            </a:ext>
          </a:extLst>
        </xdr:cNvPr>
        <xdr:cNvSpPr>
          <a:spLocks noChangeArrowheads="1"/>
        </xdr:cNvSpPr>
      </xdr:nvSpPr>
      <xdr:spPr bwMode="auto">
        <a:xfrm>
          <a:off x="14935200" y="38455600"/>
          <a:ext cx="3175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39</xdr:col>
      <xdr:colOff>176213</xdr:colOff>
      <xdr:row>164</xdr:row>
      <xdr:rowOff>95250</xdr:rowOff>
    </xdr:from>
    <xdr:to>
      <xdr:col>41</xdr:col>
      <xdr:colOff>257175</xdr:colOff>
      <xdr:row>177</xdr:row>
      <xdr:rowOff>133350</xdr:rowOff>
    </xdr:to>
    <xdr:cxnSp macro="">
      <xdr:nvCxnSpPr>
        <xdr:cNvPr id="8454346" name="AutoShape 187">
          <a:extLst>
            <a:ext uri="{FF2B5EF4-FFF2-40B4-BE49-F238E27FC236}">
              <a16:creationId xmlns:a16="http://schemas.microsoft.com/office/drawing/2014/main" id="{F72DC266-0546-42FC-BE0C-2ED060E3BDB7}"/>
            </a:ext>
          </a:extLst>
        </xdr:cNvPr>
        <xdr:cNvCxnSpPr>
          <a:cxnSpLocks noChangeShapeType="1"/>
          <a:stCxn id="7288213" idx="6"/>
          <a:endCxn id="7288160" idx="0"/>
        </xdr:cNvCxnSpPr>
      </xdr:nvCxnSpPr>
      <xdr:spPr bwMode="auto">
        <a:xfrm>
          <a:off x="14401800" y="38247638"/>
          <a:ext cx="566738" cy="214312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176213</xdr:colOff>
      <xdr:row>165</xdr:row>
      <xdr:rowOff>57150</xdr:rowOff>
    </xdr:from>
    <xdr:to>
      <xdr:col>39</xdr:col>
      <xdr:colOff>0</xdr:colOff>
      <xdr:row>165</xdr:row>
      <xdr:rowOff>95250</xdr:rowOff>
    </xdr:to>
    <xdr:cxnSp macro="">
      <xdr:nvCxnSpPr>
        <xdr:cNvPr id="8454347" name="AutoShape 188">
          <a:extLst>
            <a:ext uri="{FF2B5EF4-FFF2-40B4-BE49-F238E27FC236}">
              <a16:creationId xmlns:a16="http://schemas.microsoft.com/office/drawing/2014/main" id="{884BDA23-6F56-4715-B2C0-C23068078623}"/>
            </a:ext>
          </a:extLst>
        </xdr:cNvPr>
        <xdr:cNvCxnSpPr>
          <a:cxnSpLocks noChangeShapeType="1"/>
          <a:stCxn id="7288204" idx="4"/>
          <a:endCxn id="7288213" idx="4"/>
        </xdr:cNvCxnSpPr>
      </xdr:nvCxnSpPr>
      <xdr:spPr bwMode="auto">
        <a:xfrm rot="16200000" flipH="1">
          <a:off x="13427869" y="37611844"/>
          <a:ext cx="38100" cy="1557338"/>
        </a:xfrm>
        <a:prstGeom prst="bentConnector3">
          <a:avLst>
            <a:gd name="adj1" fmla="val 2400000"/>
          </a:avLst>
        </a:prstGeom>
        <a:noFill/>
        <a:ln w="9525">
          <a:solidFill>
            <a:srgbClr val="FF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34</xdr:col>
      <xdr:colOff>211455</xdr:colOff>
      <xdr:row>165</xdr:row>
      <xdr:rowOff>104625</xdr:rowOff>
    </xdr:from>
    <xdr:ext cx="374974" cy="170560"/>
    <xdr:sp macro="" textlink="">
      <xdr:nvSpPr>
        <xdr:cNvPr id="10429" name="Text Box 189">
          <a:extLst>
            <a:ext uri="{FF2B5EF4-FFF2-40B4-BE49-F238E27FC236}">
              <a16:creationId xmlns:a16="http://schemas.microsoft.com/office/drawing/2014/main" id="{406C9CA7-A5E5-4231-80D0-D6912F79DE00}"/>
            </a:ext>
          </a:extLst>
        </xdr:cNvPr>
        <xdr:cNvSpPr txBox="1">
          <a:spLocks noChangeArrowheads="1"/>
        </xdr:cNvSpPr>
      </xdr:nvSpPr>
      <xdr:spPr bwMode="auto">
        <a:xfrm>
          <a:off x="13193470" y="38411934"/>
          <a:ext cx="374974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1.2.10</a:t>
          </a:r>
        </a:p>
      </xdr:txBody>
    </xdr:sp>
    <xdr:clientData/>
  </xdr:oneCellAnchor>
  <xdr:twoCellAnchor>
    <xdr:from>
      <xdr:col>28</xdr:col>
      <xdr:colOff>162560</xdr:colOff>
      <xdr:row>168</xdr:row>
      <xdr:rowOff>24130</xdr:rowOff>
    </xdr:from>
    <xdr:to>
      <xdr:col>29</xdr:col>
      <xdr:colOff>191031</xdr:colOff>
      <xdr:row>169</xdr:row>
      <xdr:rowOff>161607</xdr:rowOff>
    </xdr:to>
    <xdr:sp macro="" textlink="">
      <xdr:nvSpPr>
        <xdr:cNvPr id="7288217" name="Oval 190">
          <a:extLst>
            <a:ext uri="{FF2B5EF4-FFF2-40B4-BE49-F238E27FC236}">
              <a16:creationId xmlns:a16="http://schemas.microsoft.com/office/drawing/2014/main" id="{365D9A3A-2744-49DF-8F51-9053E61E0A5E}"/>
            </a:ext>
          </a:extLst>
        </xdr:cNvPr>
        <xdr:cNvSpPr>
          <a:spLocks noChangeArrowheads="1"/>
        </xdr:cNvSpPr>
      </xdr:nvSpPr>
      <xdr:spPr bwMode="auto">
        <a:xfrm>
          <a:off x="12407900" y="39192200"/>
          <a:ext cx="2540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29</xdr:col>
      <xdr:colOff>14288</xdr:colOff>
      <xdr:row>165</xdr:row>
      <xdr:rowOff>57150</xdr:rowOff>
    </xdr:from>
    <xdr:to>
      <xdr:col>29</xdr:col>
      <xdr:colOff>14288</xdr:colOff>
      <xdr:row>168</xdr:row>
      <xdr:rowOff>23813</xdr:rowOff>
    </xdr:to>
    <xdr:cxnSp macro="">
      <xdr:nvCxnSpPr>
        <xdr:cNvPr id="8454350" name="AutoShape 191">
          <a:extLst>
            <a:ext uri="{FF2B5EF4-FFF2-40B4-BE49-F238E27FC236}">
              <a16:creationId xmlns:a16="http://schemas.microsoft.com/office/drawing/2014/main" id="{C7D3665D-0539-4738-8C9C-6C946E8264AC}"/>
            </a:ext>
          </a:extLst>
        </xdr:cNvPr>
        <xdr:cNvCxnSpPr>
          <a:cxnSpLocks noChangeShapeType="1"/>
          <a:stCxn id="7288203" idx="4"/>
          <a:endCxn id="7288217" idx="0"/>
        </xdr:cNvCxnSpPr>
      </xdr:nvCxnSpPr>
      <xdr:spPr bwMode="auto">
        <a:xfrm>
          <a:off x="11830050" y="38371463"/>
          <a:ext cx="0" cy="452437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27</xdr:col>
      <xdr:colOff>60326</xdr:colOff>
      <xdr:row>166</xdr:row>
      <xdr:rowOff>107801</xdr:rowOff>
    </xdr:from>
    <xdr:ext cx="303673" cy="170560"/>
    <xdr:sp macro="" textlink="">
      <xdr:nvSpPr>
        <xdr:cNvPr id="10432" name="Text Box 192">
          <a:extLst>
            <a:ext uri="{FF2B5EF4-FFF2-40B4-BE49-F238E27FC236}">
              <a16:creationId xmlns:a16="http://schemas.microsoft.com/office/drawing/2014/main" id="{17D825C8-E14B-4394-8F5C-81FF86BEF7BD}"/>
            </a:ext>
          </a:extLst>
        </xdr:cNvPr>
        <xdr:cNvSpPr txBox="1">
          <a:spLocks noChangeArrowheads="1"/>
        </xdr:cNvSpPr>
      </xdr:nvSpPr>
      <xdr:spPr bwMode="auto">
        <a:xfrm>
          <a:off x="11451106" y="38577595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1.3.1</a:t>
          </a:r>
        </a:p>
      </xdr:txBody>
    </xdr:sp>
    <xdr:clientData/>
  </xdr:oneCellAnchor>
  <xdr:twoCellAnchor>
    <xdr:from>
      <xdr:col>29</xdr:col>
      <xdr:colOff>176213</xdr:colOff>
      <xdr:row>168</xdr:row>
      <xdr:rowOff>228600</xdr:rowOff>
    </xdr:from>
    <xdr:to>
      <xdr:col>32</xdr:col>
      <xdr:colOff>80963</xdr:colOff>
      <xdr:row>169</xdr:row>
      <xdr:rowOff>0</xdr:rowOff>
    </xdr:to>
    <xdr:cxnSp macro="">
      <xdr:nvCxnSpPr>
        <xdr:cNvPr id="8454352" name="AutoShape 193">
          <a:extLst>
            <a:ext uri="{FF2B5EF4-FFF2-40B4-BE49-F238E27FC236}">
              <a16:creationId xmlns:a16="http://schemas.microsoft.com/office/drawing/2014/main" id="{85D52EF5-64B8-4E64-B7C2-3E43E6A50EF9}"/>
            </a:ext>
          </a:extLst>
        </xdr:cNvPr>
        <xdr:cNvCxnSpPr>
          <a:cxnSpLocks noChangeShapeType="1"/>
          <a:stCxn id="7288217" idx="6"/>
          <a:endCxn id="7288227" idx="2"/>
        </xdr:cNvCxnSpPr>
      </xdr:nvCxnSpPr>
      <xdr:spPr bwMode="auto">
        <a:xfrm>
          <a:off x="11991975" y="38962013"/>
          <a:ext cx="581025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30</xdr:col>
      <xdr:colOff>2167</xdr:colOff>
      <xdr:row>168</xdr:row>
      <xdr:rowOff>729</xdr:rowOff>
    </xdr:from>
    <xdr:ext cx="303673" cy="170560"/>
    <xdr:sp macro="" textlink="">
      <xdr:nvSpPr>
        <xdr:cNvPr id="10434" name="Text Box 194">
          <a:extLst>
            <a:ext uri="{FF2B5EF4-FFF2-40B4-BE49-F238E27FC236}">
              <a16:creationId xmlns:a16="http://schemas.microsoft.com/office/drawing/2014/main" id="{0E2675FA-6FC3-4D56-B3CC-2DE0AE3CCEE0}"/>
            </a:ext>
          </a:extLst>
        </xdr:cNvPr>
        <xdr:cNvSpPr txBox="1">
          <a:spLocks noChangeArrowheads="1"/>
        </xdr:cNvSpPr>
      </xdr:nvSpPr>
      <xdr:spPr bwMode="auto">
        <a:xfrm>
          <a:off x="12031682" y="3879549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1.3.2</a:t>
          </a:r>
        </a:p>
      </xdr:txBody>
    </xdr:sp>
    <xdr:clientData/>
  </xdr:oneCellAnchor>
  <xdr:twoCellAnchor>
    <xdr:from>
      <xdr:col>29</xdr:col>
      <xdr:colOff>176213</xdr:colOff>
      <xdr:row>160</xdr:row>
      <xdr:rowOff>204788</xdr:rowOff>
    </xdr:from>
    <xdr:to>
      <xdr:col>32</xdr:col>
      <xdr:colOff>9525</xdr:colOff>
      <xdr:row>160</xdr:row>
      <xdr:rowOff>204788</xdr:rowOff>
    </xdr:to>
    <xdr:cxnSp macro="">
      <xdr:nvCxnSpPr>
        <xdr:cNvPr id="8454354" name="AutoShape 195">
          <a:extLst>
            <a:ext uri="{FF2B5EF4-FFF2-40B4-BE49-F238E27FC236}">
              <a16:creationId xmlns:a16="http://schemas.microsoft.com/office/drawing/2014/main" id="{5D11B90B-564B-409D-BE56-CA6F9FAFD217}"/>
            </a:ext>
          </a:extLst>
        </xdr:cNvPr>
        <xdr:cNvCxnSpPr>
          <a:cxnSpLocks noChangeShapeType="1"/>
          <a:stCxn id="7288225" idx="6"/>
          <a:endCxn id="7288228" idx="2"/>
        </xdr:cNvCxnSpPr>
      </xdr:nvCxnSpPr>
      <xdr:spPr bwMode="auto">
        <a:xfrm>
          <a:off x="11991975" y="37666613"/>
          <a:ext cx="509588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27</xdr:col>
      <xdr:colOff>16454</xdr:colOff>
      <xdr:row>161</xdr:row>
      <xdr:rowOff>135422</xdr:rowOff>
    </xdr:from>
    <xdr:ext cx="303673" cy="170560"/>
    <xdr:sp macro="" textlink="">
      <xdr:nvSpPr>
        <xdr:cNvPr id="10436" name="Text Box 196">
          <a:extLst>
            <a:ext uri="{FF2B5EF4-FFF2-40B4-BE49-F238E27FC236}">
              <a16:creationId xmlns:a16="http://schemas.microsoft.com/office/drawing/2014/main" id="{4EB64972-1C03-4195-9A2D-D556A1E418B1}"/>
            </a:ext>
          </a:extLst>
        </xdr:cNvPr>
        <xdr:cNvSpPr txBox="1">
          <a:spLocks noChangeArrowheads="1"/>
        </xdr:cNvSpPr>
      </xdr:nvSpPr>
      <xdr:spPr bwMode="auto">
        <a:xfrm>
          <a:off x="11407234" y="37792790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1.3.3</a:t>
          </a:r>
        </a:p>
      </xdr:txBody>
    </xdr:sp>
    <xdr:clientData/>
  </xdr:oneCellAnchor>
  <xdr:twoCellAnchor editAs="oneCell">
    <xdr:from>
      <xdr:col>30</xdr:col>
      <xdr:colOff>2802</xdr:colOff>
      <xdr:row>160</xdr:row>
      <xdr:rowOff>1514</xdr:rowOff>
    </xdr:from>
    <xdr:to>
      <xdr:col>31</xdr:col>
      <xdr:colOff>212337</xdr:colOff>
      <xdr:row>161</xdr:row>
      <xdr:rowOff>10281</xdr:rowOff>
    </xdr:to>
    <xdr:sp macro="" textlink="">
      <xdr:nvSpPr>
        <xdr:cNvPr id="10437" name="Text Box 197">
          <a:extLst>
            <a:ext uri="{FF2B5EF4-FFF2-40B4-BE49-F238E27FC236}">
              <a16:creationId xmlns:a16="http://schemas.microsoft.com/office/drawing/2014/main" id="{4EB40242-66F3-413C-A996-B6213FFCD8AD}"/>
            </a:ext>
          </a:extLst>
        </xdr:cNvPr>
        <xdr:cNvSpPr txBox="1">
          <a:spLocks noChangeArrowheads="1"/>
        </xdr:cNvSpPr>
      </xdr:nvSpPr>
      <xdr:spPr bwMode="auto">
        <a:xfrm>
          <a:off x="11153775" y="20812125"/>
          <a:ext cx="352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1.3.4</a:t>
          </a:r>
        </a:p>
      </xdr:txBody>
    </xdr:sp>
    <xdr:clientData/>
  </xdr:twoCellAnchor>
  <xdr:twoCellAnchor>
    <xdr:from>
      <xdr:col>28</xdr:col>
      <xdr:colOff>162560</xdr:colOff>
      <xdr:row>160</xdr:row>
      <xdr:rowOff>0</xdr:rowOff>
    </xdr:from>
    <xdr:to>
      <xdr:col>29</xdr:col>
      <xdr:colOff>191031</xdr:colOff>
      <xdr:row>162</xdr:row>
      <xdr:rowOff>804</xdr:rowOff>
    </xdr:to>
    <xdr:sp macro="" textlink="">
      <xdr:nvSpPr>
        <xdr:cNvPr id="7288225" name="Oval 198">
          <a:extLst>
            <a:ext uri="{FF2B5EF4-FFF2-40B4-BE49-F238E27FC236}">
              <a16:creationId xmlns:a16="http://schemas.microsoft.com/office/drawing/2014/main" id="{4E6A9104-957B-461F-957B-953B1E335FE6}"/>
            </a:ext>
          </a:extLst>
        </xdr:cNvPr>
        <xdr:cNvSpPr>
          <a:spLocks noChangeArrowheads="1"/>
        </xdr:cNvSpPr>
      </xdr:nvSpPr>
      <xdr:spPr bwMode="auto">
        <a:xfrm>
          <a:off x="12407900" y="37858700"/>
          <a:ext cx="2540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29</xdr:col>
      <xdr:colOff>14288</xdr:colOff>
      <xdr:row>161</xdr:row>
      <xdr:rowOff>152400</xdr:rowOff>
    </xdr:from>
    <xdr:to>
      <xdr:col>29</xdr:col>
      <xdr:colOff>14288</xdr:colOff>
      <xdr:row>163</xdr:row>
      <xdr:rowOff>152400</xdr:rowOff>
    </xdr:to>
    <xdr:cxnSp macro="">
      <xdr:nvCxnSpPr>
        <xdr:cNvPr id="8454358" name="AutoShape 199">
          <a:extLst>
            <a:ext uri="{FF2B5EF4-FFF2-40B4-BE49-F238E27FC236}">
              <a16:creationId xmlns:a16="http://schemas.microsoft.com/office/drawing/2014/main" id="{FB5E8EFD-A26F-40E3-9C93-7CF771EAA431}"/>
            </a:ext>
          </a:extLst>
        </xdr:cNvPr>
        <xdr:cNvCxnSpPr>
          <a:cxnSpLocks noChangeShapeType="1"/>
          <a:stCxn id="7288203" idx="0"/>
          <a:endCxn id="7288225" idx="4"/>
        </xdr:cNvCxnSpPr>
      </xdr:nvCxnSpPr>
      <xdr:spPr bwMode="auto">
        <a:xfrm flipV="1">
          <a:off x="11830050" y="37819013"/>
          <a:ext cx="0" cy="32385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81280</xdr:colOff>
      <xdr:row>168</xdr:row>
      <xdr:rowOff>38735</xdr:rowOff>
    </xdr:from>
    <xdr:to>
      <xdr:col>33</xdr:col>
      <xdr:colOff>138391</xdr:colOff>
      <xdr:row>169</xdr:row>
      <xdr:rowOff>162142</xdr:rowOff>
    </xdr:to>
    <xdr:sp macro="" textlink="">
      <xdr:nvSpPr>
        <xdr:cNvPr id="7288227" name="Oval 200">
          <a:extLst>
            <a:ext uri="{FF2B5EF4-FFF2-40B4-BE49-F238E27FC236}">
              <a16:creationId xmlns:a16="http://schemas.microsoft.com/office/drawing/2014/main" id="{12A7BCF5-7B3A-4582-8A6C-B0646B1D823C}"/>
            </a:ext>
          </a:extLst>
        </xdr:cNvPr>
        <xdr:cNvSpPr>
          <a:spLocks noChangeArrowheads="1"/>
        </xdr:cNvSpPr>
      </xdr:nvSpPr>
      <xdr:spPr bwMode="auto">
        <a:xfrm>
          <a:off x="13309600" y="392049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32</xdr:col>
      <xdr:colOff>6984</xdr:colOff>
      <xdr:row>160</xdr:row>
      <xdr:rowOff>0</xdr:rowOff>
    </xdr:from>
    <xdr:to>
      <xdr:col>33</xdr:col>
      <xdr:colOff>81548</xdr:colOff>
      <xdr:row>162</xdr:row>
      <xdr:rowOff>804</xdr:rowOff>
    </xdr:to>
    <xdr:sp macro="" textlink="">
      <xdr:nvSpPr>
        <xdr:cNvPr id="7288228" name="Oval 201">
          <a:extLst>
            <a:ext uri="{FF2B5EF4-FFF2-40B4-BE49-F238E27FC236}">
              <a16:creationId xmlns:a16="http://schemas.microsoft.com/office/drawing/2014/main" id="{57950BFC-C50C-4331-B339-70EA46301488}"/>
            </a:ext>
          </a:extLst>
        </xdr:cNvPr>
        <xdr:cNvSpPr>
          <a:spLocks noChangeArrowheads="1"/>
        </xdr:cNvSpPr>
      </xdr:nvSpPr>
      <xdr:spPr bwMode="auto">
        <a:xfrm>
          <a:off x="13271500" y="37858700"/>
          <a:ext cx="3048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33</xdr:col>
      <xdr:colOff>80963</xdr:colOff>
      <xdr:row>160</xdr:row>
      <xdr:rowOff>204788</xdr:rowOff>
    </xdr:from>
    <xdr:to>
      <xdr:col>35</xdr:col>
      <xdr:colOff>261938</xdr:colOff>
      <xdr:row>163</xdr:row>
      <xdr:rowOff>152400</xdr:rowOff>
    </xdr:to>
    <xdr:cxnSp macro="">
      <xdr:nvCxnSpPr>
        <xdr:cNvPr id="8454361" name="AutoShape 202">
          <a:extLst>
            <a:ext uri="{FF2B5EF4-FFF2-40B4-BE49-F238E27FC236}">
              <a16:creationId xmlns:a16="http://schemas.microsoft.com/office/drawing/2014/main" id="{7E2A7241-68C1-4F10-A502-49CC50572825}"/>
            </a:ext>
          </a:extLst>
        </xdr:cNvPr>
        <xdr:cNvCxnSpPr>
          <a:cxnSpLocks noChangeShapeType="1"/>
          <a:stCxn id="7288228" idx="6"/>
          <a:endCxn id="7288209" idx="0"/>
        </xdr:cNvCxnSpPr>
      </xdr:nvCxnSpPr>
      <xdr:spPr bwMode="auto">
        <a:xfrm>
          <a:off x="12820650" y="37666613"/>
          <a:ext cx="661988" cy="476250"/>
        </a:xfrm>
        <a:prstGeom prst="bentConnector2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138113</xdr:colOff>
      <xdr:row>164</xdr:row>
      <xdr:rowOff>95250</xdr:rowOff>
    </xdr:from>
    <xdr:to>
      <xdr:col>34</xdr:col>
      <xdr:colOff>138113</xdr:colOff>
      <xdr:row>169</xdr:row>
      <xdr:rowOff>0</xdr:rowOff>
    </xdr:to>
    <xdr:cxnSp macro="">
      <xdr:nvCxnSpPr>
        <xdr:cNvPr id="8454362" name="AutoShape 203">
          <a:extLst>
            <a:ext uri="{FF2B5EF4-FFF2-40B4-BE49-F238E27FC236}">
              <a16:creationId xmlns:a16="http://schemas.microsoft.com/office/drawing/2014/main" id="{AA9FF330-FE79-488F-A541-39F0F9D2F761}"/>
            </a:ext>
          </a:extLst>
        </xdr:cNvPr>
        <xdr:cNvCxnSpPr>
          <a:cxnSpLocks noChangeShapeType="1"/>
          <a:stCxn id="7288227" idx="6"/>
          <a:endCxn id="10424" idx="2"/>
        </xdr:cNvCxnSpPr>
      </xdr:nvCxnSpPr>
      <xdr:spPr bwMode="auto">
        <a:xfrm flipV="1">
          <a:off x="12877800" y="38247638"/>
          <a:ext cx="247650" cy="714375"/>
        </a:xfrm>
        <a:prstGeom prst="bentConnector2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36</xdr:col>
      <xdr:colOff>152400</xdr:colOff>
      <xdr:row>164</xdr:row>
      <xdr:rowOff>95250</xdr:rowOff>
    </xdr:from>
    <xdr:to>
      <xdr:col>38</xdr:col>
      <xdr:colOff>109538</xdr:colOff>
      <xdr:row>164</xdr:row>
      <xdr:rowOff>95250</xdr:rowOff>
    </xdr:to>
    <xdr:cxnSp macro="">
      <xdr:nvCxnSpPr>
        <xdr:cNvPr id="8454363" name="AutoShape 204">
          <a:extLst>
            <a:ext uri="{FF2B5EF4-FFF2-40B4-BE49-F238E27FC236}">
              <a16:creationId xmlns:a16="http://schemas.microsoft.com/office/drawing/2014/main" id="{4BF77790-2FC5-43FE-B209-C6F345D35D1F}"/>
            </a:ext>
          </a:extLst>
        </xdr:cNvPr>
        <xdr:cNvCxnSpPr>
          <a:cxnSpLocks noChangeShapeType="1"/>
          <a:stCxn id="7288209" idx="6"/>
          <a:endCxn id="7288213" idx="2"/>
        </xdr:cNvCxnSpPr>
      </xdr:nvCxnSpPr>
      <xdr:spPr bwMode="auto">
        <a:xfrm>
          <a:off x="13635038" y="38247638"/>
          <a:ext cx="452437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36</xdr:col>
      <xdr:colOff>160655</xdr:colOff>
      <xdr:row>163</xdr:row>
      <xdr:rowOff>49660</xdr:rowOff>
    </xdr:from>
    <xdr:ext cx="303673" cy="170560"/>
    <xdr:sp macro="" textlink="">
      <xdr:nvSpPr>
        <xdr:cNvPr id="10445" name="Text Box 205">
          <a:extLst>
            <a:ext uri="{FF2B5EF4-FFF2-40B4-BE49-F238E27FC236}">
              <a16:creationId xmlns:a16="http://schemas.microsoft.com/office/drawing/2014/main" id="{B3078C4D-D76D-42AB-BE04-B723CBC00816}"/>
            </a:ext>
          </a:extLst>
        </xdr:cNvPr>
        <xdr:cNvSpPr txBox="1">
          <a:spLocks noChangeArrowheads="1"/>
        </xdr:cNvSpPr>
      </xdr:nvSpPr>
      <xdr:spPr bwMode="auto">
        <a:xfrm>
          <a:off x="13635729" y="3803199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1.3.5</a:t>
          </a:r>
        </a:p>
      </xdr:txBody>
    </xdr:sp>
    <xdr:clientData/>
  </xdr:oneCellAnchor>
  <xdr:twoCellAnchor>
    <xdr:from>
      <xdr:col>39</xdr:col>
      <xdr:colOff>93663</xdr:colOff>
      <xdr:row>168</xdr:row>
      <xdr:rowOff>64770</xdr:rowOff>
    </xdr:from>
    <xdr:to>
      <xdr:col>40</xdr:col>
      <xdr:colOff>145198</xdr:colOff>
      <xdr:row>169</xdr:row>
      <xdr:rowOff>160360</xdr:rowOff>
    </xdr:to>
    <xdr:sp macro="" textlink="">
      <xdr:nvSpPr>
        <xdr:cNvPr id="7288233" name="Oval 206">
          <a:extLst>
            <a:ext uri="{FF2B5EF4-FFF2-40B4-BE49-F238E27FC236}">
              <a16:creationId xmlns:a16="http://schemas.microsoft.com/office/drawing/2014/main" id="{699B2987-2CFC-4AD3-9B25-2AF703B348E8}"/>
            </a:ext>
          </a:extLst>
        </xdr:cNvPr>
        <xdr:cNvSpPr>
          <a:spLocks noChangeArrowheads="1"/>
        </xdr:cNvSpPr>
      </xdr:nvSpPr>
      <xdr:spPr bwMode="auto">
        <a:xfrm>
          <a:off x="15176500" y="392176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36</xdr:col>
      <xdr:colOff>100648</xdr:colOff>
      <xdr:row>168</xdr:row>
      <xdr:rowOff>64770</xdr:rowOff>
    </xdr:from>
    <xdr:to>
      <xdr:col>37</xdr:col>
      <xdr:colOff>162854</xdr:colOff>
      <xdr:row>169</xdr:row>
      <xdr:rowOff>160360</xdr:rowOff>
    </xdr:to>
    <xdr:sp macro="" textlink="">
      <xdr:nvSpPr>
        <xdr:cNvPr id="7288234" name="Oval 207">
          <a:extLst>
            <a:ext uri="{FF2B5EF4-FFF2-40B4-BE49-F238E27FC236}">
              <a16:creationId xmlns:a16="http://schemas.microsoft.com/office/drawing/2014/main" id="{F53BDEE0-EB1F-4496-A740-B3C6E53617F3}"/>
            </a:ext>
          </a:extLst>
        </xdr:cNvPr>
        <xdr:cNvSpPr>
          <a:spLocks noChangeArrowheads="1"/>
        </xdr:cNvSpPr>
      </xdr:nvSpPr>
      <xdr:spPr bwMode="auto">
        <a:xfrm>
          <a:off x="14389100" y="39217600"/>
          <a:ext cx="304800" cy="2794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37</xdr:col>
      <xdr:colOff>152400</xdr:colOff>
      <xdr:row>169</xdr:row>
      <xdr:rowOff>23813</xdr:rowOff>
    </xdr:from>
    <xdr:to>
      <xdr:col>39</xdr:col>
      <xdr:colOff>80963</xdr:colOff>
      <xdr:row>169</xdr:row>
      <xdr:rowOff>23813</xdr:rowOff>
    </xdr:to>
    <xdr:cxnSp macro="">
      <xdr:nvCxnSpPr>
        <xdr:cNvPr id="8454367" name="AutoShape 208">
          <a:extLst>
            <a:ext uri="{FF2B5EF4-FFF2-40B4-BE49-F238E27FC236}">
              <a16:creationId xmlns:a16="http://schemas.microsoft.com/office/drawing/2014/main" id="{DE70AE2D-17A6-47B5-8FF9-58C1E1AAA94C}"/>
            </a:ext>
          </a:extLst>
        </xdr:cNvPr>
        <xdr:cNvCxnSpPr>
          <a:cxnSpLocks noChangeShapeType="1"/>
          <a:stCxn id="7288234" idx="6"/>
          <a:endCxn id="7288233" idx="2"/>
        </xdr:cNvCxnSpPr>
      </xdr:nvCxnSpPr>
      <xdr:spPr bwMode="auto">
        <a:xfrm>
          <a:off x="13882688" y="38985825"/>
          <a:ext cx="42386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138113</xdr:colOff>
      <xdr:row>169</xdr:row>
      <xdr:rowOff>0</xdr:rowOff>
    </xdr:from>
    <xdr:to>
      <xdr:col>36</xdr:col>
      <xdr:colOff>95250</xdr:colOff>
      <xdr:row>169</xdr:row>
      <xdr:rowOff>23813</xdr:rowOff>
    </xdr:to>
    <xdr:cxnSp macro="">
      <xdr:nvCxnSpPr>
        <xdr:cNvPr id="8454368" name="AutoShape 209">
          <a:extLst>
            <a:ext uri="{FF2B5EF4-FFF2-40B4-BE49-F238E27FC236}">
              <a16:creationId xmlns:a16="http://schemas.microsoft.com/office/drawing/2014/main" id="{7F1B216A-730A-4A3F-B5DD-E9E8D17597B8}"/>
            </a:ext>
          </a:extLst>
        </xdr:cNvPr>
        <xdr:cNvCxnSpPr>
          <a:cxnSpLocks noChangeShapeType="1"/>
          <a:stCxn id="7288227" idx="6"/>
          <a:endCxn id="7288234" idx="2"/>
        </xdr:cNvCxnSpPr>
      </xdr:nvCxnSpPr>
      <xdr:spPr bwMode="auto">
        <a:xfrm>
          <a:off x="12877800" y="38962013"/>
          <a:ext cx="700088" cy="23812"/>
        </a:xfrm>
        <a:prstGeom prst="straightConnector1">
          <a:avLst/>
        </a:prstGeom>
        <a:noFill/>
        <a:ln w="9525">
          <a:solidFill>
            <a:srgbClr val="FF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37</xdr:col>
      <xdr:colOff>125413</xdr:colOff>
      <xdr:row>168</xdr:row>
      <xdr:rowOff>2353</xdr:rowOff>
    </xdr:from>
    <xdr:ext cx="303673" cy="170560"/>
    <xdr:sp macro="" textlink="">
      <xdr:nvSpPr>
        <xdr:cNvPr id="10450" name="Text Box 210">
          <a:extLst>
            <a:ext uri="{FF2B5EF4-FFF2-40B4-BE49-F238E27FC236}">
              <a16:creationId xmlns:a16="http://schemas.microsoft.com/office/drawing/2014/main" id="{2F4C4425-4B85-49F9-93FE-36E8A9A4BD99}"/>
            </a:ext>
          </a:extLst>
        </xdr:cNvPr>
        <xdr:cNvSpPr txBox="1">
          <a:spLocks noChangeArrowheads="1"/>
        </xdr:cNvSpPr>
      </xdr:nvSpPr>
      <xdr:spPr bwMode="auto">
        <a:xfrm>
          <a:off x="13847017" y="38797118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1.4.1</a:t>
          </a:r>
        </a:p>
      </xdr:txBody>
    </xdr:sp>
    <xdr:clientData/>
  </xdr:oneCellAnchor>
  <xdr:twoCellAnchor>
    <xdr:from>
      <xdr:col>39</xdr:col>
      <xdr:colOff>164465</xdr:colOff>
      <xdr:row>160</xdr:row>
      <xdr:rowOff>0</xdr:rowOff>
    </xdr:from>
    <xdr:to>
      <xdr:col>40</xdr:col>
      <xdr:colOff>202481</xdr:colOff>
      <xdr:row>162</xdr:row>
      <xdr:rowOff>804</xdr:rowOff>
    </xdr:to>
    <xdr:sp macro="" textlink="">
      <xdr:nvSpPr>
        <xdr:cNvPr id="7288238" name="Oval 211">
          <a:extLst>
            <a:ext uri="{FF2B5EF4-FFF2-40B4-BE49-F238E27FC236}">
              <a16:creationId xmlns:a16="http://schemas.microsoft.com/office/drawing/2014/main" id="{CD5248D3-E3AA-45C7-BCDF-1109D45E03B1}"/>
            </a:ext>
          </a:extLst>
        </xdr:cNvPr>
        <xdr:cNvSpPr>
          <a:spLocks noChangeArrowheads="1"/>
        </xdr:cNvSpPr>
      </xdr:nvSpPr>
      <xdr:spPr bwMode="auto">
        <a:xfrm>
          <a:off x="15227300" y="37858700"/>
          <a:ext cx="3048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36</xdr:col>
      <xdr:colOff>166688</xdr:colOff>
      <xdr:row>160</xdr:row>
      <xdr:rowOff>0</xdr:rowOff>
    </xdr:from>
    <xdr:to>
      <xdr:col>37</xdr:col>
      <xdr:colOff>210371</xdr:colOff>
      <xdr:row>162</xdr:row>
      <xdr:rowOff>804</xdr:rowOff>
    </xdr:to>
    <xdr:sp macro="" textlink="">
      <xdr:nvSpPr>
        <xdr:cNvPr id="7288239" name="Oval 212">
          <a:extLst>
            <a:ext uri="{FF2B5EF4-FFF2-40B4-BE49-F238E27FC236}">
              <a16:creationId xmlns:a16="http://schemas.microsoft.com/office/drawing/2014/main" id="{B04E4F94-201C-477C-987E-541FEF8041D5}"/>
            </a:ext>
          </a:extLst>
        </xdr:cNvPr>
        <xdr:cNvSpPr>
          <a:spLocks noChangeArrowheads="1"/>
        </xdr:cNvSpPr>
      </xdr:nvSpPr>
      <xdr:spPr bwMode="auto">
        <a:xfrm>
          <a:off x="14439900" y="37858700"/>
          <a:ext cx="292100" cy="2667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37</xdr:col>
      <xdr:colOff>209550</xdr:colOff>
      <xdr:row>160</xdr:row>
      <xdr:rowOff>204788</xdr:rowOff>
    </xdr:from>
    <xdr:to>
      <xdr:col>39</xdr:col>
      <xdr:colOff>152400</xdr:colOff>
      <xdr:row>160</xdr:row>
      <xdr:rowOff>204788</xdr:rowOff>
    </xdr:to>
    <xdr:cxnSp macro="">
      <xdr:nvCxnSpPr>
        <xdr:cNvPr id="8454372" name="AutoShape 213">
          <a:extLst>
            <a:ext uri="{FF2B5EF4-FFF2-40B4-BE49-F238E27FC236}">
              <a16:creationId xmlns:a16="http://schemas.microsoft.com/office/drawing/2014/main" id="{C3B0DABE-A0B1-470E-AC64-8498416552CB}"/>
            </a:ext>
          </a:extLst>
        </xdr:cNvPr>
        <xdr:cNvCxnSpPr>
          <a:cxnSpLocks noChangeShapeType="1"/>
          <a:stCxn id="7288239" idx="6"/>
          <a:endCxn id="7288238" idx="2"/>
        </xdr:cNvCxnSpPr>
      </xdr:nvCxnSpPr>
      <xdr:spPr bwMode="auto">
        <a:xfrm>
          <a:off x="13939838" y="37666613"/>
          <a:ext cx="438150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38</xdr:col>
      <xdr:colOff>598</xdr:colOff>
      <xdr:row>160</xdr:row>
      <xdr:rowOff>4540</xdr:rowOff>
    </xdr:from>
    <xdr:ext cx="303673" cy="170560"/>
    <xdr:sp macro="" textlink="">
      <xdr:nvSpPr>
        <xdr:cNvPr id="10454" name="Text Box 214">
          <a:extLst>
            <a:ext uri="{FF2B5EF4-FFF2-40B4-BE49-F238E27FC236}">
              <a16:creationId xmlns:a16="http://schemas.microsoft.com/office/drawing/2014/main" id="{8E49BD20-0AE6-47F9-AB6C-297417BBD988}"/>
            </a:ext>
          </a:extLst>
        </xdr:cNvPr>
        <xdr:cNvSpPr txBox="1">
          <a:spLocks noChangeArrowheads="1"/>
        </xdr:cNvSpPr>
      </xdr:nvSpPr>
      <xdr:spPr bwMode="auto">
        <a:xfrm>
          <a:off x="13968731" y="37499422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1.4.2</a:t>
          </a:r>
        </a:p>
      </xdr:txBody>
    </xdr:sp>
    <xdr:clientData/>
  </xdr:oneCellAnchor>
  <xdr:twoCellAnchor>
    <xdr:from>
      <xdr:col>33</xdr:col>
      <xdr:colOff>80963</xdr:colOff>
      <xdr:row>160</xdr:row>
      <xdr:rowOff>204788</xdr:rowOff>
    </xdr:from>
    <xdr:to>
      <xdr:col>36</xdr:col>
      <xdr:colOff>166688</xdr:colOff>
      <xdr:row>160</xdr:row>
      <xdr:rowOff>204788</xdr:rowOff>
    </xdr:to>
    <xdr:cxnSp macro="">
      <xdr:nvCxnSpPr>
        <xdr:cNvPr id="8454374" name="AutoShape 215">
          <a:extLst>
            <a:ext uri="{FF2B5EF4-FFF2-40B4-BE49-F238E27FC236}">
              <a16:creationId xmlns:a16="http://schemas.microsoft.com/office/drawing/2014/main" id="{D5B19B77-9205-49FA-823F-1368F8263654}"/>
            </a:ext>
          </a:extLst>
        </xdr:cNvPr>
        <xdr:cNvCxnSpPr>
          <a:cxnSpLocks noChangeShapeType="1"/>
          <a:stCxn id="7288228" idx="6"/>
          <a:endCxn id="7288239" idx="2"/>
        </xdr:cNvCxnSpPr>
      </xdr:nvCxnSpPr>
      <xdr:spPr bwMode="auto">
        <a:xfrm>
          <a:off x="12820650" y="37666613"/>
          <a:ext cx="828675" cy="0"/>
        </a:xfrm>
        <a:prstGeom prst="straightConnector1">
          <a:avLst/>
        </a:prstGeom>
        <a:noFill/>
        <a:ln w="9525">
          <a:solidFill>
            <a:srgbClr val="FF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40</xdr:col>
      <xdr:colOff>209550</xdr:colOff>
      <xdr:row>160</xdr:row>
      <xdr:rowOff>204788</xdr:rowOff>
    </xdr:from>
    <xdr:to>
      <xdr:col>41</xdr:col>
      <xdr:colOff>257175</xdr:colOff>
      <xdr:row>177</xdr:row>
      <xdr:rowOff>133350</xdr:rowOff>
    </xdr:to>
    <xdr:cxnSp macro="">
      <xdr:nvCxnSpPr>
        <xdr:cNvPr id="8454375" name="AutoShape 216">
          <a:extLst>
            <a:ext uri="{FF2B5EF4-FFF2-40B4-BE49-F238E27FC236}">
              <a16:creationId xmlns:a16="http://schemas.microsoft.com/office/drawing/2014/main" id="{77F6EF8A-7DFD-4C84-8049-BC531F0834B8}"/>
            </a:ext>
          </a:extLst>
        </xdr:cNvPr>
        <xdr:cNvCxnSpPr>
          <a:cxnSpLocks noChangeShapeType="1"/>
          <a:stCxn id="7288238" idx="6"/>
          <a:endCxn id="7288160" idx="0"/>
        </xdr:cNvCxnSpPr>
      </xdr:nvCxnSpPr>
      <xdr:spPr bwMode="auto">
        <a:xfrm>
          <a:off x="14682788" y="37666613"/>
          <a:ext cx="285750" cy="2724150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40</xdr:col>
      <xdr:colOff>138113</xdr:colOff>
      <xdr:row>169</xdr:row>
      <xdr:rowOff>23813</xdr:rowOff>
    </xdr:from>
    <xdr:to>
      <xdr:col>41</xdr:col>
      <xdr:colOff>257175</xdr:colOff>
      <xdr:row>177</xdr:row>
      <xdr:rowOff>133350</xdr:rowOff>
    </xdr:to>
    <xdr:cxnSp macro="">
      <xdr:nvCxnSpPr>
        <xdr:cNvPr id="8454376" name="AutoShape 217">
          <a:extLst>
            <a:ext uri="{FF2B5EF4-FFF2-40B4-BE49-F238E27FC236}">
              <a16:creationId xmlns:a16="http://schemas.microsoft.com/office/drawing/2014/main" id="{3B5B6797-0250-4894-847A-55875718401F}"/>
            </a:ext>
          </a:extLst>
        </xdr:cNvPr>
        <xdr:cNvCxnSpPr>
          <a:cxnSpLocks noChangeShapeType="1"/>
          <a:stCxn id="7288233" idx="6"/>
          <a:endCxn id="7288160" idx="0"/>
        </xdr:cNvCxnSpPr>
      </xdr:nvCxnSpPr>
      <xdr:spPr bwMode="auto">
        <a:xfrm>
          <a:off x="14611350" y="38985825"/>
          <a:ext cx="357188" cy="140493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27</xdr:col>
      <xdr:colOff>134302</xdr:colOff>
      <xdr:row>154</xdr:row>
      <xdr:rowOff>78739</xdr:rowOff>
    </xdr:from>
    <xdr:to>
      <xdr:col>28</xdr:col>
      <xdr:colOff>126063</xdr:colOff>
      <xdr:row>155</xdr:row>
      <xdr:rowOff>155770</xdr:rowOff>
    </xdr:to>
    <xdr:sp macro="" textlink="">
      <xdr:nvSpPr>
        <xdr:cNvPr id="7288245" name="Oval 218">
          <a:extLst>
            <a:ext uri="{FF2B5EF4-FFF2-40B4-BE49-F238E27FC236}">
              <a16:creationId xmlns:a16="http://schemas.microsoft.com/office/drawing/2014/main" id="{8275D7AB-B567-403D-8C59-333F260D2050}"/>
            </a:ext>
          </a:extLst>
        </xdr:cNvPr>
        <xdr:cNvSpPr>
          <a:spLocks noChangeArrowheads="1"/>
        </xdr:cNvSpPr>
      </xdr:nvSpPr>
      <xdr:spPr bwMode="auto">
        <a:xfrm>
          <a:off x="12153900" y="36931600"/>
          <a:ext cx="2413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24</xdr:col>
      <xdr:colOff>1848</xdr:colOff>
      <xdr:row>154</xdr:row>
      <xdr:rowOff>78739</xdr:rowOff>
    </xdr:from>
    <xdr:to>
      <xdr:col>25</xdr:col>
      <xdr:colOff>10963</xdr:colOff>
      <xdr:row>155</xdr:row>
      <xdr:rowOff>155770</xdr:rowOff>
    </xdr:to>
    <xdr:sp macro="" textlink="">
      <xdr:nvSpPr>
        <xdr:cNvPr id="7288246" name="Oval 219">
          <a:extLst>
            <a:ext uri="{FF2B5EF4-FFF2-40B4-BE49-F238E27FC236}">
              <a16:creationId xmlns:a16="http://schemas.microsoft.com/office/drawing/2014/main" id="{B783399F-543D-44F3-8722-531CCA338945}"/>
            </a:ext>
          </a:extLst>
        </xdr:cNvPr>
        <xdr:cNvSpPr>
          <a:spLocks noChangeArrowheads="1"/>
        </xdr:cNvSpPr>
      </xdr:nvSpPr>
      <xdr:spPr bwMode="auto">
        <a:xfrm>
          <a:off x="11353800" y="36931600"/>
          <a:ext cx="2667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25</xdr:col>
      <xdr:colOff>0</xdr:colOff>
      <xdr:row>155</xdr:row>
      <xdr:rowOff>23813</xdr:rowOff>
    </xdr:from>
    <xdr:to>
      <xdr:col>27</xdr:col>
      <xdr:colOff>109538</xdr:colOff>
      <xdr:row>155</xdr:row>
      <xdr:rowOff>23813</xdr:rowOff>
    </xdr:to>
    <xdr:cxnSp macro="">
      <xdr:nvCxnSpPr>
        <xdr:cNvPr id="8454379" name="AutoShape 220">
          <a:extLst>
            <a:ext uri="{FF2B5EF4-FFF2-40B4-BE49-F238E27FC236}">
              <a16:creationId xmlns:a16="http://schemas.microsoft.com/office/drawing/2014/main" id="{5C8B559D-3F19-4F58-8DD6-B2D68328CDE4}"/>
            </a:ext>
          </a:extLst>
        </xdr:cNvPr>
        <xdr:cNvCxnSpPr>
          <a:cxnSpLocks noChangeShapeType="1"/>
          <a:stCxn id="7288246" idx="6"/>
          <a:endCxn id="7288245" idx="2"/>
        </xdr:cNvCxnSpPr>
      </xdr:nvCxnSpPr>
      <xdr:spPr bwMode="auto">
        <a:xfrm>
          <a:off x="10958513" y="36718875"/>
          <a:ext cx="53816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25</xdr:col>
      <xdr:colOff>69851</xdr:colOff>
      <xdr:row>154</xdr:row>
      <xdr:rowOff>2633</xdr:rowOff>
    </xdr:from>
    <xdr:ext cx="303673" cy="170560"/>
    <xdr:sp macro="" textlink="">
      <xdr:nvSpPr>
        <xdr:cNvPr id="10461" name="Text Box 221">
          <a:extLst>
            <a:ext uri="{FF2B5EF4-FFF2-40B4-BE49-F238E27FC236}">
              <a16:creationId xmlns:a16="http://schemas.microsoft.com/office/drawing/2014/main" id="{5B17ED4E-BA98-42DE-902D-CB9E35AE63FA}"/>
            </a:ext>
          </a:extLst>
        </xdr:cNvPr>
        <xdr:cNvSpPr txBox="1">
          <a:spLocks noChangeArrowheads="1"/>
        </xdr:cNvSpPr>
      </xdr:nvSpPr>
      <xdr:spPr bwMode="auto">
        <a:xfrm>
          <a:off x="11034807" y="36522604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2.4.1</a:t>
          </a:r>
        </a:p>
      </xdr:txBody>
    </xdr:sp>
    <xdr:clientData/>
  </xdr:oneCellAnchor>
  <xdr:twoCellAnchor>
    <xdr:from>
      <xdr:col>31</xdr:col>
      <xdr:colOff>76518</xdr:colOff>
      <xdr:row>154</xdr:row>
      <xdr:rowOff>78739</xdr:rowOff>
    </xdr:from>
    <xdr:to>
      <xdr:col>32</xdr:col>
      <xdr:colOff>146197</xdr:colOff>
      <xdr:row>155</xdr:row>
      <xdr:rowOff>155770</xdr:rowOff>
    </xdr:to>
    <xdr:sp macro="" textlink="">
      <xdr:nvSpPr>
        <xdr:cNvPr id="7288249" name="Oval 222">
          <a:extLst>
            <a:ext uri="{FF2B5EF4-FFF2-40B4-BE49-F238E27FC236}">
              <a16:creationId xmlns:a16="http://schemas.microsoft.com/office/drawing/2014/main" id="{E6B6B258-FCAB-4A19-8655-0A25501FB265}"/>
            </a:ext>
          </a:extLst>
        </xdr:cNvPr>
        <xdr:cNvSpPr>
          <a:spLocks noChangeArrowheads="1"/>
        </xdr:cNvSpPr>
      </xdr:nvSpPr>
      <xdr:spPr bwMode="auto">
        <a:xfrm>
          <a:off x="13042900" y="36931600"/>
          <a:ext cx="304800" cy="254000"/>
        </a:xfrm>
        <a:prstGeom prst="ellipse">
          <a:avLst/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s-ES_tradnl"/>
        </a:p>
      </xdr:txBody>
    </xdr:sp>
    <xdr:clientData/>
  </xdr:twoCellAnchor>
  <xdr:twoCellAnchor>
    <xdr:from>
      <xdr:col>28</xdr:col>
      <xdr:colOff>128588</xdr:colOff>
      <xdr:row>155</xdr:row>
      <xdr:rowOff>23813</xdr:rowOff>
    </xdr:from>
    <xdr:to>
      <xdr:col>31</xdr:col>
      <xdr:colOff>80963</xdr:colOff>
      <xdr:row>155</xdr:row>
      <xdr:rowOff>23813</xdr:rowOff>
    </xdr:to>
    <xdr:cxnSp macro="">
      <xdr:nvCxnSpPr>
        <xdr:cNvPr id="8454382" name="AutoShape 223">
          <a:extLst>
            <a:ext uri="{FF2B5EF4-FFF2-40B4-BE49-F238E27FC236}">
              <a16:creationId xmlns:a16="http://schemas.microsoft.com/office/drawing/2014/main" id="{967622B0-44EC-4D0F-B482-41457BE68ECE}"/>
            </a:ext>
          </a:extLst>
        </xdr:cNvPr>
        <xdr:cNvCxnSpPr>
          <a:cxnSpLocks noChangeShapeType="1"/>
          <a:stCxn id="7288245" idx="6"/>
          <a:endCxn id="7288249" idx="2"/>
        </xdr:cNvCxnSpPr>
      </xdr:nvCxnSpPr>
      <xdr:spPr bwMode="auto">
        <a:xfrm>
          <a:off x="11730038" y="36718875"/>
          <a:ext cx="595312" cy="0"/>
        </a:xfrm>
        <a:prstGeom prst="straightConnector1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29</xdr:col>
      <xdr:colOff>2166</xdr:colOff>
      <xdr:row>154</xdr:row>
      <xdr:rowOff>4538</xdr:rowOff>
    </xdr:from>
    <xdr:ext cx="303673" cy="170560"/>
    <xdr:sp macro="" textlink="">
      <xdr:nvSpPr>
        <xdr:cNvPr id="10464" name="Text Box 224">
          <a:extLst>
            <a:ext uri="{FF2B5EF4-FFF2-40B4-BE49-F238E27FC236}">
              <a16:creationId xmlns:a16="http://schemas.microsoft.com/office/drawing/2014/main" id="{17D44362-CC96-45AA-A729-A05381E2C61F}"/>
            </a:ext>
          </a:extLst>
        </xdr:cNvPr>
        <xdr:cNvSpPr txBox="1">
          <a:spLocks noChangeArrowheads="1"/>
        </xdr:cNvSpPr>
      </xdr:nvSpPr>
      <xdr:spPr bwMode="auto">
        <a:xfrm>
          <a:off x="11818770" y="36524509"/>
          <a:ext cx="303673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P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2.4.2</a:t>
          </a:r>
        </a:p>
      </xdr:txBody>
    </xdr:sp>
    <xdr:clientData/>
  </xdr:oneCellAnchor>
  <xdr:twoCellAnchor>
    <xdr:from>
      <xdr:col>21</xdr:col>
      <xdr:colOff>157163</xdr:colOff>
      <xdr:row>155</xdr:row>
      <xdr:rowOff>23813</xdr:rowOff>
    </xdr:from>
    <xdr:to>
      <xdr:col>23</xdr:col>
      <xdr:colOff>271463</xdr:colOff>
      <xdr:row>157</xdr:row>
      <xdr:rowOff>95250</xdr:rowOff>
    </xdr:to>
    <xdr:cxnSp macro="">
      <xdr:nvCxnSpPr>
        <xdr:cNvPr id="8454384" name="AutoShape 225">
          <a:extLst>
            <a:ext uri="{FF2B5EF4-FFF2-40B4-BE49-F238E27FC236}">
              <a16:creationId xmlns:a16="http://schemas.microsoft.com/office/drawing/2014/main" id="{A90C7526-1BF0-4FB8-BE47-8EC0CCD51833}"/>
            </a:ext>
          </a:extLst>
        </xdr:cNvPr>
        <xdr:cNvCxnSpPr>
          <a:cxnSpLocks noChangeShapeType="1"/>
          <a:stCxn id="7288118" idx="0"/>
          <a:endCxn id="7288246" idx="2"/>
        </xdr:cNvCxnSpPr>
      </xdr:nvCxnSpPr>
      <xdr:spPr bwMode="auto">
        <a:xfrm rot="-5400000">
          <a:off x="10303669" y="36673631"/>
          <a:ext cx="395288" cy="485775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138113</xdr:colOff>
      <xdr:row>155</xdr:row>
      <xdr:rowOff>23813</xdr:rowOff>
    </xdr:from>
    <xdr:to>
      <xdr:col>41</xdr:col>
      <xdr:colOff>257175</xdr:colOff>
      <xdr:row>177</xdr:row>
      <xdr:rowOff>133350</xdr:rowOff>
    </xdr:to>
    <xdr:cxnSp macro="">
      <xdr:nvCxnSpPr>
        <xdr:cNvPr id="8454385" name="AutoShape 226">
          <a:extLst>
            <a:ext uri="{FF2B5EF4-FFF2-40B4-BE49-F238E27FC236}">
              <a16:creationId xmlns:a16="http://schemas.microsoft.com/office/drawing/2014/main" id="{1ED4D9AA-109C-4C22-8D85-D0B4A20A507F}"/>
            </a:ext>
          </a:extLst>
        </xdr:cNvPr>
        <xdr:cNvCxnSpPr>
          <a:cxnSpLocks noChangeShapeType="1"/>
          <a:stCxn id="7288249" idx="6"/>
          <a:endCxn id="7288160" idx="0"/>
        </xdr:cNvCxnSpPr>
      </xdr:nvCxnSpPr>
      <xdr:spPr bwMode="auto">
        <a:xfrm>
          <a:off x="12630150" y="36718875"/>
          <a:ext cx="2338388" cy="3671888"/>
        </a:xfrm>
        <a:prstGeom prst="bentConnector2">
          <a:avLst/>
        </a:prstGeom>
        <a:noFill/>
        <a:ln w="9525">
          <a:solidFill>
            <a:srgbClr val="000000"/>
          </a:solidFill>
          <a:prstDash val="dash"/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ile:\A:\Calculo%20Poblacional%20Tambogran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esar\Documents\Documentos%20Cesar\Proyectos\MEF_Brechas\Ascendant_Tema%20B\Modelo%20FAP%20v30913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esar\Documents\Documentos%20Cesar\Proyectos\ACFFAA%20MINDEF\Producto%203%20Perfil%20ACFFAA\Version%20revisada%20131216\Modelo_ACFFAA_v131216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ile:\C:\Documents%20and%20Settings\Cesar\My%20Documents\Documentos%20Cesar\Cursos\FAP_TCA_SIVAN\SIVAN%20041108\Modelo_SIVAN_v0411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Menu No. 1"/>
      <sheetName val="Censo"/>
      <sheetName val="Poblacion"/>
      <sheetName val="Menu No. 2"/>
      <sheetName val="Dato"/>
      <sheetName val="Usuarios"/>
      <sheetName val="Usuarios Potencial"/>
      <sheetName val="Demanda Pasiva agua"/>
      <sheetName val="DemandaAlcant"/>
      <sheetName val="Menu No. 3"/>
      <sheetName val="Metas"/>
      <sheetName val="Demanda Activa Agua"/>
      <sheetName val="Demanda Activa Alcant."/>
      <sheetName val="Oferta de Agua"/>
      <sheetName val="Contribucion"/>
      <sheetName val="Menu No. 4"/>
      <sheetName val="DiagnostAg"/>
      <sheetName val="Captacion"/>
      <sheetName val="PreTratamiento"/>
      <sheetName val="ConduCruda"/>
      <sheetName val="Tratamiento"/>
      <sheetName val="ConduTratada"/>
      <sheetName val="Almacena"/>
      <sheetName val="EstBombeo"/>
      <sheetName val="RedPrimariaC"/>
      <sheetName val="RedPrimaria"/>
      <sheetName val="RedSecond"/>
      <sheetName val="ConexDomici"/>
      <sheetName val="PMedidores"/>
      <sheetName val="Colectores Primarios"/>
      <sheetName val="Alcantarillado"/>
      <sheetName val="Trat.AguasServ."/>
      <sheetName val="Emisores"/>
      <sheetName val="ConexDesa"/>
      <sheetName val="PMIO(Operativo)"/>
      <sheetName val="PMIO(Rehab)"/>
      <sheetName val="Inv.Agua.Potable"/>
      <sheetName val="InvAlcantarillado"/>
      <sheetName val="COSTOS"/>
      <sheetName val="Programa Invers."/>
      <sheetName val="PMIO"/>
      <sheetName val="Vol.Venta"/>
      <sheetName val="Módulo2"/>
      <sheetName val="Módulo1"/>
      <sheetName val="ANEXO 20 - C.I. BARRIDO"/>
      <sheetName val="ANEXO 22 - C.I. RECOLECCIÓN"/>
      <sheetName val="ANEXO 30 - GESTION A.F.T"/>
      <sheetName val="ANEXO 31 - SENSIB POB-INV"/>
    </sheetNames>
    <sheetDataSet>
      <sheetData sheetId="0" refreshError="1"/>
      <sheetData sheetId="1" refreshError="1"/>
      <sheetData sheetId="2" refreshError="1"/>
      <sheetData sheetId="3" refreshError="1">
        <row r="27">
          <cell r="C27">
            <v>2646</v>
          </cell>
          <cell r="D27">
            <v>6065</v>
          </cell>
          <cell r="E27">
            <v>10732</v>
          </cell>
          <cell r="F27">
            <v>15046</v>
          </cell>
        </row>
        <row r="28">
          <cell r="C28">
            <v>3500</v>
          </cell>
          <cell r="D28">
            <v>4754</v>
          </cell>
          <cell r="E28">
            <v>6726</v>
          </cell>
          <cell r="F28">
            <v>15046</v>
          </cell>
        </row>
        <row r="29">
          <cell r="C29">
            <v>3987</v>
          </cell>
          <cell r="D29">
            <v>5335</v>
          </cell>
          <cell r="E29">
            <v>7376</v>
          </cell>
          <cell r="F29">
            <v>15046</v>
          </cell>
        </row>
        <row r="30">
          <cell r="C30">
            <v>3375</v>
          </cell>
          <cell r="D30">
            <v>4602</v>
          </cell>
          <cell r="E30">
            <v>6551</v>
          </cell>
          <cell r="F30">
            <v>15046</v>
          </cell>
        </row>
        <row r="31">
          <cell r="C31">
            <v>5402</v>
          </cell>
          <cell r="D31">
            <v>6928</v>
          </cell>
          <cell r="E31">
            <v>9012</v>
          </cell>
          <cell r="F31">
            <v>15046</v>
          </cell>
        </row>
        <row r="32">
          <cell r="C32">
            <v>4344</v>
          </cell>
          <cell r="D32">
            <v>5749</v>
          </cell>
          <cell r="E32">
            <v>7820</v>
          </cell>
          <cell r="F32">
            <v>15046</v>
          </cell>
        </row>
        <row r="84">
          <cell r="C84">
            <v>1961</v>
          </cell>
          <cell r="D84">
            <v>1972</v>
          </cell>
          <cell r="E84">
            <v>1981</v>
          </cell>
          <cell r="F84">
            <v>1993</v>
          </cell>
        </row>
        <row r="85">
          <cell r="C85">
            <v>2646</v>
          </cell>
          <cell r="D85">
            <v>6065</v>
          </cell>
          <cell r="E85">
            <v>10732</v>
          </cell>
          <cell r="F85">
            <v>15046</v>
          </cell>
        </row>
        <row r="86">
          <cell r="C86">
            <v>1614</v>
          </cell>
          <cell r="D86">
            <v>3477</v>
          </cell>
          <cell r="E86">
            <v>6514</v>
          </cell>
          <cell r="F86">
            <v>15046</v>
          </cell>
        </row>
        <row r="87">
          <cell r="C87">
            <v>2811</v>
          </cell>
          <cell r="D87">
            <v>5004</v>
          </cell>
          <cell r="E87">
            <v>8021</v>
          </cell>
          <cell r="F87">
            <v>15046</v>
          </cell>
        </row>
        <row r="88">
          <cell r="C88">
            <v>3050</v>
          </cell>
          <cell r="D88">
            <v>5280</v>
          </cell>
          <cell r="E88">
            <v>8271</v>
          </cell>
          <cell r="F88">
            <v>15046</v>
          </cell>
        </row>
        <row r="89">
          <cell r="C89">
            <v>4191</v>
          </cell>
          <cell r="D89">
            <v>6504</v>
          </cell>
          <cell r="E89">
            <v>9317</v>
          </cell>
          <cell r="F89">
            <v>15046</v>
          </cell>
        </row>
        <row r="90">
          <cell r="C90">
            <v>3061</v>
          </cell>
          <cell r="D90">
            <v>5293</v>
          </cell>
          <cell r="E90">
            <v>8282</v>
          </cell>
          <cell r="F90">
            <v>15046</v>
          </cell>
        </row>
        <row r="147">
          <cell r="B147">
            <v>1961</v>
          </cell>
          <cell r="C147">
            <v>1972</v>
          </cell>
          <cell r="D147">
            <v>1981</v>
          </cell>
          <cell r="E147">
            <v>1993</v>
          </cell>
        </row>
        <row r="148">
          <cell r="B148">
            <v>2646</v>
          </cell>
          <cell r="C148">
            <v>6065</v>
          </cell>
          <cell r="D148">
            <v>10732</v>
          </cell>
          <cell r="E148">
            <v>15046</v>
          </cell>
        </row>
        <row r="149">
          <cell r="B149">
            <v>-1880</v>
          </cell>
          <cell r="C149">
            <v>1538</v>
          </cell>
          <cell r="D149">
            <v>6205</v>
          </cell>
          <cell r="E149">
            <v>15046</v>
          </cell>
        </row>
        <row r="150">
          <cell r="B150">
            <v>2646</v>
          </cell>
          <cell r="C150">
            <v>6065</v>
          </cell>
          <cell r="D150">
            <v>9519</v>
          </cell>
          <cell r="E150">
            <v>15046</v>
          </cell>
        </row>
        <row r="151">
          <cell r="B151">
            <v>2646</v>
          </cell>
          <cell r="C151">
            <v>7231</v>
          </cell>
          <cell r="D151">
            <v>10732</v>
          </cell>
          <cell r="E151">
            <v>15046</v>
          </cell>
        </row>
        <row r="152">
          <cell r="B152">
            <v>-1305</v>
          </cell>
          <cell r="C152">
            <v>6065</v>
          </cell>
          <cell r="D152">
            <v>10732</v>
          </cell>
          <cell r="E152">
            <v>15046</v>
          </cell>
        </row>
        <row r="153">
          <cell r="B153">
            <v>2474</v>
          </cell>
          <cell r="C153">
            <v>6644</v>
          </cell>
          <cell r="D153">
            <v>10174</v>
          </cell>
          <cell r="E153">
            <v>15046</v>
          </cell>
        </row>
        <row r="200">
          <cell r="A200">
            <v>1993</v>
          </cell>
          <cell r="B200">
            <v>15046</v>
          </cell>
          <cell r="C200">
            <v>15046</v>
          </cell>
          <cell r="D200">
            <v>15046</v>
          </cell>
          <cell r="E200">
            <v>15046</v>
          </cell>
          <cell r="F200">
            <v>15046</v>
          </cell>
        </row>
        <row r="201">
          <cell r="A201">
            <v>2000</v>
          </cell>
          <cell r="B201">
            <v>17763.181525314172</v>
          </cell>
          <cell r="C201">
            <v>23155.794000000002</v>
          </cell>
          <cell r="D201">
            <v>19892.984278865235</v>
          </cell>
          <cell r="E201">
            <v>17975.203225841655</v>
          </cell>
          <cell r="F201">
            <v>17860.218453188601</v>
          </cell>
        </row>
        <row r="202">
          <cell r="A202">
            <v>2001</v>
          </cell>
          <cell r="B202">
            <v>18189.49788192171</v>
          </cell>
          <cell r="C202">
            <v>24314.336000000003</v>
          </cell>
          <cell r="D202">
            <v>20702.628739015046</v>
          </cell>
          <cell r="E202">
            <v>18398.914087888807</v>
          </cell>
          <cell r="F202">
            <v>18257.550429669835</v>
          </cell>
        </row>
        <row r="203">
          <cell r="A203">
            <v>2002</v>
          </cell>
          <cell r="B203">
            <v>18626.045831087828</v>
          </cell>
          <cell r="C203">
            <v>25472.878000000001</v>
          </cell>
          <cell r="D203">
            <v>21545.225728692956</v>
          </cell>
          <cell r="E203">
            <v>18823.938264524833</v>
          </cell>
          <cell r="F203">
            <v>18654.882406151064</v>
          </cell>
        </row>
        <row r="204">
          <cell r="A204">
            <v>2003</v>
          </cell>
          <cell r="B204">
            <v>19073.070931033937</v>
          </cell>
          <cell r="C204">
            <v>26631.420000000002</v>
          </cell>
          <cell r="D204">
            <v>22422.11641585076</v>
          </cell>
          <cell r="E204">
            <v>19250.275755749739</v>
          </cell>
          <cell r="F204">
            <v>19052.214382632294</v>
          </cell>
        </row>
        <row r="205">
          <cell r="A205">
            <v>2004</v>
          </cell>
          <cell r="B205">
            <v>19530.824633378754</v>
          </cell>
          <cell r="C205">
            <v>27789.962</v>
          </cell>
          <cell r="D205">
            <v>23334.696553975882</v>
          </cell>
          <cell r="E205">
            <v>19677.926561563509</v>
          </cell>
          <cell r="F205">
            <v>19449.546359113523</v>
          </cell>
        </row>
        <row r="206">
          <cell r="A206">
            <v>2005</v>
          </cell>
          <cell r="B206">
            <v>19999.564424579843</v>
          </cell>
          <cell r="C206">
            <v>28948.503999999997</v>
          </cell>
          <cell r="D206">
            <v>24284.418703722702</v>
          </cell>
          <cell r="E206">
            <v>20106.890681966153</v>
          </cell>
          <cell r="F206">
            <v>19846.878335594753</v>
          </cell>
        </row>
        <row r="207">
          <cell r="A207">
            <v>2006</v>
          </cell>
          <cell r="B207">
            <v>20479.553970769761</v>
          </cell>
          <cell r="C207">
            <v>30107.046000000006</v>
          </cell>
          <cell r="D207">
            <v>25272.794544964214</v>
          </cell>
          <cell r="E207">
            <v>20537.168116957677</v>
          </cell>
          <cell r="F207">
            <v>20244.210312075986</v>
          </cell>
        </row>
        <row r="208">
          <cell r="A208">
            <v>2007</v>
          </cell>
          <cell r="B208">
            <v>20971.063266068231</v>
          </cell>
          <cell r="C208">
            <v>31265.588000000003</v>
          </cell>
          <cell r="D208">
            <v>26301.397282944257</v>
          </cell>
          <cell r="E208">
            <v>20968.758866538064</v>
          </cell>
          <cell r="F208">
            <v>20641.542288557212</v>
          </cell>
        </row>
        <row r="209">
          <cell r="A209">
            <v>2008</v>
          </cell>
          <cell r="B209">
            <v>21474.368784453873</v>
          </cell>
          <cell r="C209">
            <v>32424.130000000005</v>
          </cell>
          <cell r="D209">
            <v>27371.864152360089</v>
          </cell>
          <cell r="E209">
            <v>21401.662930707327</v>
          </cell>
          <cell r="F209">
            <v>21038.874265038445</v>
          </cell>
        </row>
        <row r="210">
          <cell r="A210">
            <v>2009</v>
          </cell>
          <cell r="B210">
            <v>21989.753635280762</v>
          </cell>
          <cell r="C210">
            <v>33582.672000000006</v>
          </cell>
          <cell r="D210">
            <v>28485.89902336114</v>
          </cell>
          <cell r="E210">
            <v>21835.880309465469</v>
          </cell>
          <cell r="F210">
            <v>21436.206241519674</v>
          </cell>
        </row>
        <row r="211">
          <cell r="A211">
            <v>2010</v>
          </cell>
          <cell r="B211">
            <v>22517.507722527502</v>
          </cell>
          <cell r="C211">
            <v>34741.214</v>
          </cell>
          <cell r="D211">
            <v>29645.275113611937</v>
          </cell>
          <cell r="E211">
            <v>22271.411002812481</v>
          </cell>
          <cell r="F211">
            <v>21833.538218000904</v>
          </cell>
        </row>
        <row r="212">
          <cell r="A212">
            <v>2011</v>
          </cell>
          <cell r="B212">
            <v>23057.927907868157</v>
          </cell>
          <cell r="C212">
            <v>35899.756000000001</v>
          </cell>
          <cell r="D212">
            <v>30851.837810735942</v>
          </cell>
          <cell r="E212">
            <v>22708.255010748362</v>
          </cell>
          <cell r="F212">
            <v>22230.870194482137</v>
          </cell>
        </row>
        <row r="213">
          <cell r="A213">
            <v>2012</v>
          </cell>
          <cell r="B213">
            <v>23611.318177656998</v>
          </cell>
          <cell r="C213">
            <v>37058.298000000003</v>
          </cell>
          <cell r="D213">
            <v>32107.507609632892</v>
          </cell>
          <cell r="E213">
            <v>23146.412333273114</v>
          </cell>
          <cell r="F213">
            <v>22628.202170963363</v>
          </cell>
        </row>
        <row r="214">
          <cell r="A214">
            <v>2013</v>
          </cell>
          <cell r="B214">
            <v>24177.989813920765</v>
          </cell>
          <cell r="C214">
            <v>38216.840000000004</v>
          </cell>
          <cell r="D214">
            <v>33414.283169344948</v>
          </cell>
          <cell r="E214">
            <v>23585.882970386745</v>
          </cell>
          <cell r="F214">
            <v>23025.534147444596</v>
          </cell>
        </row>
        <row r="215">
          <cell r="A215">
            <v>2014</v>
          </cell>
          <cell r="B215">
            <v>24758.261569454866</v>
          </cell>
          <cell r="C215">
            <v>39375.381999999998</v>
          </cell>
          <cell r="D215">
            <v>34774.24449433729</v>
          </cell>
          <cell r="E215">
            <v>24026.666922089244</v>
          </cell>
          <cell r="F215">
            <v>23422.866123925825</v>
          </cell>
        </row>
        <row r="216">
          <cell r="A216">
            <v>2015</v>
          </cell>
          <cell r="B216">
            <v>25352.459847121776</v>
          </cell>
          <cell r="C216">
            <v>40533.923999999999</v>
          </cell>
          <cell r="D216">
            <v>36189.556245256819</v>
          </cell>
          <cell r="E216">
            <v>24468.764188380617</v>
          </cell>
          <cell r="F216">
            <v>23820.198100407055</v>
          </cell>
        </row>
        <row r="217">
          <cell r="A217">
            <v>2016</v>
          </cell>
          <cell r="B217">
            <v>25960.918883452705</v>
          </cell>
          <cell r="C217">
            <v>41692.466</v>
          </cell>
          <cell r="D217">
            <v>37662.471184438764</v>
          </cell>
          <cell r="E217">
            <v>24912.174769260866</v>
          </cell>
          <cell r="F217">
            <v>24217.530076888288</v>
          </cell>
        </row>
        <row r="218">
          <cell r="A218">
            <v>2017</v>
          </cell>
          <cell r="B218">
            <v>26583.980936655564</v>
          </cell>
          <cell r="C218">
            <v>42851.007999999994</v>
          </cell>
          <cell r="D218">
            <v>39195.333761645416</v>
          </cell>
          <cell r="E218">
            <v>25356.898664729983</v>
          </cell>
          <cell r="F218">
            <v>24614.862053369514</v>
          </cell>
        </row>
        <row r="219">
          <cell r="A219">
            <v>2018</v>
          </cell>
          <cell r="B219">
            <v>27221.996479135298</v>
          </cell>
          <cell r="C219">
            <v>44009.549999999996</v>
          </cell>
          <cell r="D219">
            <v>40790.58384574439</v>
          </cell>
          <cell r="E219">
            <v>25802.935874787971</v>
          </cell>
          <cell r="F219">
            <v>25012.194029850747</v>
          </cell>
        </row>
        <row r="220">
          <cell r="A220">
            <v>2019</v>
          </cell>
          <cell r="B220">
            <v>27875.324394634546</v>
          </cell>
          <cell r="C220">
            <v>45168.092000000004</v>
          </cell>
          <cell r="D220">
            <v>42450.76060826618</v>
          </cell>
          <cell r="E220">
            <v>26250.286399434837</v>
          </cell>
          <cell r="F220">
            <v>25409.526006331977</v>
          </cell>
        </row>
        <row r="221">
          <cell r="A221">
            <v>2020</v>
          </cell>
          <cell r="B221">
            <v>28544.332180105775</v>
          </cell>
          <cell r="C221">
            <v>46326.634000000005</v>
          </cell>
          <cell r="D221">
            <v>44178.50656502261</v>
          </cell>
          <cell r="E221">
            <v>26698.950238670575</v>
          </cell>
          <cell r="F221">
            <v>25806.857982813206</v>
          </cell>
        </row>
        <row r="222">
          <cell r="A222">
            <v>2021</v>
          </cell>
          <cell r="B222">
            <v>29229.396152428315</v>
          </cell>
          <cell r="C222">
            <v>47485.175999999999</v>
          </cell>
          <cell r="D222">
            <v>45976.571782219027</v>
          </cell>
          <cell r="E222">
            <v>27148.927392495181</v>
          </cell>
          <cell r="F222">
            <v>26204.189959294436</v>
          </cell>
        </row>
        <row r="223">
          <cell r="A223">
            <v>2022</v>
          </cell>
          <cell r="B223">
            <v>29930.901660086594</v>
          </cell>
          <cell r="C223">
            <v>48643.718000000001</v>
          </cell>
          <cell r="D223">
            <v>47847.818253755337</v>
          </cell>
          <cell r="E223">
            <v>27600.217860908666</v>
          </cell>
          <cell r="F223">
            <v>26601.521935775665</v>
          </cell>
        </row>
        <row r="224">
          <cell r="A224">
            <v>2023</v>
          </cell>
          <cell r="B224">
            <v>30649.243299928672</v>
          </cell>
          <cell r="C224">
            <v>49802.26</v>
          </cell>
          <cell r="D224">
            <v>49795.22445668318</v>
          </cell>
          <cell r="E224">
            <v>28052.821643911022</v>
          </cell>
          <cell r="F224">
            <v>26998.853912256898</v>
          </cell>
        </row>
        <row r="225">
          <cell r="A225">
            <v>2024</v>
          </cell>
          <cell r="B225">
            <v>31384.825139126962</v>
          </cell>
          <cell r="C225">
            <v>50960.802000000003</v>
          </cell>
          <cell r="D225">
            <v>51821.890092070185</v>
          </cell>
          <cell r="E225">
            <v>28506.738741502246</v>
          </cell>
          <cell r="F225">
            <v>27396.185888738128</v>
          </cell>
        </row>
        <row r="226">
          <cell r="A226">
            <v>2025</v>
          </cell>
          <cell r="B226">
            <v>32138.060942466003</v>
          </cell>
          <cell r="C226">
            <v>52119.343999999997</v>
          </cell>
          <cell r="D226">
            <v>53931.041018817428</v>
          </cell>
          <cell r="E226">
            <v>28961.969153682348</v>
          </cell>
          <cell r="F226">
            <v>27793.517865219357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14">
          <cell r="W14">
            <v>75799.392351844712</v>
          </cell>
          <cell r="X14">
            <v>51181.613999999994</v>
          </cell>
        </row>
        <row r="15">
          <cell r="W15">
            <v>77976.692869429011</v>
          </cell>
          <cell r="X15">
            <v>51181.613999999994</v>
          </cell>
        </row>
        <row r="16">
          <cell r="W16">
            <v>80158.759448021287</v>
          </cell>
          <cell r="X16">
            <v>51181.613999999994</v>
          </cell>
        </row>
        <row r="17">
          <cell r="W17">
            <v>82345.592087621611</v>
          </cell>
          <cell r="X17">
            <v>51181.613999999994</v>
          </cell>
        </row>
        <row r="18">
          <cell r="W18">
            <v>84537.190788229927</v>
          </cell>
          <cell r="X18">
            <v>51181.613999999994</v>
          </cell>
        </row>
        <row r="19">
          <cell r="W19">
            <v>86733.55554984622</v>
          </cell>
          <cell r="X19">
            <v>51181.613999999994</v>
          </cell>
        </row>
        <row r="20">
          <cell r="W20">
            <v>88532.41808453764</v>
          </cell>
          <cell r="X20">
            <v>51181.613999999994</v>
          </cell>
        </row>
        <row r="21">
          <cell r="W21">
            <v>90336.771198604198</v>
          </cell>
          <cell r="X21">
            <v>51181.613999999994</v>
          </cell>
        </row>
        <row r="22">
          <cell r="W22">
            <v>92146.614892045996</v>
          </cell>
          <cell r="X22">
            <v>51181.613999999994</v>
          </cell>
        </row>
        <row r="23">
          <cell r="W23">
            <v>93961.949164863036</v>
          </cell>
          <cell r="X23">
            <v>51181.613999999994</v>
          </cell>
        </row>
        <row r="24">
          <cell r="W24">
            <v>95782.774017055301</v>
          </cell>
          <cell r="X24">
            <v>51181.613999999994</v>
          </cell>
        </row>
        <row r="25">
          <cell r="W25">
            <v>97609.089448622763</v>
          </cell>
          <cell r="X25">
            <v>51181.613999999994</v>
          </cell>
        </row>
        <row r="26">
          <cell r="W26">
            <v>99440.895459565407</v>
          </cell>
          <cell r="X26">
            <v>51181.613999999994</v>
          </cell>
        </row>
        <row r="27">
          <cell r="W27">
            <v>101278.19204988334</v>
          </cell>
          <cell r="X27">
            <v>51181.613999999994</v>
          </cell>
        </row>
        <row r="28">
          <cell r="W28">
            <v>103120.97921957645</v>
          </cell>
          <cell r="X28">
            <v>51181.613999999994</v>
          </cell>
        </row>
        <row r="29">
          <cell r="W29">
            <v>104969.25696864481</v>
          </cell>
          <cell r="X29">
            <v>51181.613999999994</v>
          </cell>
        </row>
        <row r="30">
          <cell r="W30">
            <v>106823.02529708839</v>
          </cell>
          <cell r="X30">
            <v>51181.613999999994</v>
          </cell>
        </row>
        <row r="31">
          <cell r="W31">
            <v>108682.28420490715</v>
          </cell>
          <cell r="X31">
            <v>51181.613999999994</v>
          </cell>
        </row>
        <row r="32">
          <cell r="W32">
            <v>110547.03369210115</v>
          </cell>
          <cell r="X32">
            <v>51181.613999999994</v>
          </cell>
        </row>
        <row r="33">
          <cell r="W33">
            <v>112417.27375867037</v>
          </cell>
          <cell r="X33">
            <v>51181.613999999994</v>
          </cell>
        </row>
        <row r="34">
          <cell r="W34">
            <v>114293.00440461483</v>
          </cell>
          <cell r="X34">
            <v>51181.613999999994</v>
          </cell>
        </row>
        <row r="35">
          <cell r="W35">
            <v>116174.22562993449</v>
          </cell>
          <cell r="X35">
            <v>51181.613999999994</v>
          </cell>
        </row>
        <row r="36">
          <cell r="W36">
            <v>118060.93743462936</v>
          </cell>
          <cell r="X36">
            <v>51181.613999999994</v>
          </cell>
        </row>
        <row r="37">
          <cell r="W37">
            <v>119953.13981869946</v>
          </cell>
          <cell r="X37">
            <v>51181.613999999994</v>
          </cell>
        </row>
        <row r="38">
          <cell r="W38">
            <v>121850.83278214477</v>
          </cell>
          <cell r="X38">
            <v>51181.613999999994</v>
          </cell>
        </row>
        <row r="39">
          <cell r="W39">
            <v>123754.0163249653</v>
          </cell>
          <cell r="X39">
            <v>51181.613999999994</v>
          </cell>
        </row>
      </sheetData>
      <sheetData sheetId="9" refreshError="1"/>
      <sheetData sheetId="10" refreshError="1"/>
      <sheetData sheetId="11" refreshError="1"/>
      <sheetData sheetId="12" refreshError="1">
        <row r="14">
          <cell r="W14">
            <v>75799.392351844712</v>
          </cell>
          <cell r="X14">
            <v>51181.613999999994</v>
          </cell>
        </row>
        <row r="15">
          <cell r="W15">
            <v>77809.782869429007</v>
          </cell>
          <cell r="X15">
            <v>51311.700000000004</v>
          </cell>
        </row>
        <row r="16">
          <cell r="W16">
            <v>79574.234448021292</v>
          </cell>
          <cell r="X16">
            <v>52034.400000000001</v>
          </cell>
        </row>
        <row r="17">
          <cell r="W17">
            <v>81343.452087621612</v>
          </cell>
          <cell r="X17">
            <v>52757.1</v>
          </cell>
        </row>
        <row r="18">
          <cell r="W18">
            <v>82699.820788229918</v>
          </cell>
          <cell r="X18">
            <v>53479.80000000001</v>
          </cell>
        </row>
        <row r="19">
          <cell r="W19">
            <v>84060.955549846214</v>
          </cell>
          <cell r="X19">
            <v>54202.500000000007</v>
          </cell>
        </row>
        <row r="20">
          <cell r="W20">
            <v>85859.818084537634</v>
          </cell>
          <cell r="X20">
            <v>54925.200000000004</v>
          </cell>
        </row>
        <row r="21">
          <cell r="W21">
            <v>87664.171198604192</v>
          </cell>
          <cell r="X21">
            <v>55647.9</v>
          </cell>
        </row>
        <row r="22">
          <cell r="W22">
            <v>89474.014892045991</v>
          </cell>
          <cell r="X22">
            <v>56370.6</v>
          </cell>
        </row>
        <row r="23">
          <cell r="W23">
            <v>91289.34916486303</v>
          </cell>
          <cell r="X23">
            <v>57093.30000000001</v>
          </cell>
        </row>
        <row r="24">
          <cell r="W24">
            <v>93110.174017055295</v>
          </cell>
          <cell r="X24">
            <v>57816.000000000007</v>
          </cell>
        </row>
        <row r="25">
          <cell r="W25">
            <v>94936.489448622757</v>
          </cell>
          <cell r="X25">
            <v>57816.000000000007</v>
          </cell>
        </row>
        <row r="26">
          <cell r="W26">
            <v>96768.295459565416</v>
          </cell>
          <cell r="X26">
            <v>57816.000000000007</v>
          </cell>
        </row>
        <row r="27">
          <cell r="W27">
            <v>98605.592049883329</v>
          </cell>
          <cell r="X27">
            <v>57816.000000000007</v>
          </cell>
        </row>
        <row r="28">
          <cell r="W28">
            <v>100448.37921957645</v>
          </cell>
          <cell r="X28">
            <v>57816.000000000007</v>
          </cell>
        </row>
        <row r="29">
          <cell r="W29">
            <v>102296.65696864482</v>
          </cell>
          <cell r="X29">
            <v>57816.000000000007</v>
          </cell>
        </row>
        <row r="30">
          <cell r="W30">
            <v>104150.42529708838</v>
          </cell>
          <cell r="X30">
            <v>57816.000000000007</v>
          </cell>
        </row>
        <row r="31">
          <cell r="W31">
            <v>106009.68420490716</v>
          </cell>
          <cell r="X31">
            <v>57816.000000000007</v>
          </cell>
        </row>
        <row r="32">
          <cell r="W32">
            <v>107874.43369210114</v>
          </cell>
          <cell r="X32">
            <v>57816.000000000007</v>
          </cell>
        </row>
        <row r="33">
          <cell r="W33">
            <v>109744.67375867037</v>
          </cell>
          <cell r="X33">
            <v>57816.000000000007</v>
          </cell>
        </row>
        <row r="34">
          <cell r="W34">
            <v>111620.40440461483</v>
          </cell>
          <cell r="X34">
            <v>57816.000000000007</v>
          </cell>
        </row>
        <row r="35">
          <cell r="W35">
            <v>113501.62562993448</v>
          </cell>
          <cell r="X35">
            <v>57816.000000000007</v>
          </cell>
        </row>
        <row r="36">
          <cell r="W36">
            <v>115388.33743462936</v>
          </cell>
          <cell r="X36">
            <v>57816.000000000007</v>
          </cell>
        </row>
        <row r="37">
          <cell r="W37">
            <v>117280.53981869946</v>
          </cell>
          <cell r="X37">
            <v>57816.000000000007</v>
          </cell>
        </row>
        <row r="38">
          <cell r="W38">
            <v>119178.23278214477</v>
          </cell>
          <cell r="X38">
            <v>57816.000000000007</v>
          </cell>
        </row>
        <row r="39">
          <cell r="W39">
            <v>121081.41632496531</v>
          </cell>
          <cell r="X39">
            <v>57816.000000000007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0">
          <cell r="S10">
            <v>47.494175798867118</v>
          </cell>
          <cell r="T10">
            <v>27.5</v>
          </cell>
        </row>
        <row r="11">
          <cell r="S11">
            <v>48.790584826167816</v>
          </cell>
          <cell r="T11">
            <v>30.5</v>
          </cell>
        </row>
        <row r="12">
          <cell r="S12">
            <v>49.811060064386588</v>
          </cell>
          <cell r="T12">
            <v>30.5</v>
          </cell>
        </row>
        <row r="13">
          <cell r="S13">
            <v>51.396939308161038</v>
          </cell>
          <cell r="T13">
            <v>30.5</v>
          </cell>
        </row>
        <row r="14">
          <cell r="S14">
            <v>52.030634076209033</v>
          </cell>
          <cell r="T14">
            <v>60.53</v>
          </cell>
        </row>
        <row r="15">
          <cell r="S15">
            <v>52.620078011939782</v>
          </cell>
          <cell r="T15">
            <v>60.53</v>
          </cell>
        </row>
        <row r="16">
          <cell r="S16">
            <v>53.323530592052258</v>
          </cell>
          <cell r="T16">
            <v>60.53</v>
          </cell>
        </row>
        <row r="17">
          <cell r="S17">
            <v>54.023865612182547</v>
          </cell>
          <cell r="T17">
            <v>60.53</v>
          </cell>
        </row>
        <row r="18">
          <cell r="S18">
            <v>54.721256176526531</v>
          </cell>
          <cell r="T18">
            <v>60.53</v>
          </cell>
        </row>
        <row r="19">
          <cell r="S19">
            <v>55.415866624510663</v>
          </cell>
          <cell r="T19">
            <v>60.53</v>
          </cell>
        </row>
        <row r="20">
          <cell r="S20">
            <v>56.107853078590082</v>
          </cell>
          <cell r="T20">
            <v>60.53</v>
          </cell>
        </row>
        <row r="21">
          <cell r="S21">
            <v>57.208384132165165</v>
          </cell>
          <cell r="T21">
            <v>60.53</v>
          </cell>
        </row>
        <row r="22">
          <cell r="S22">
            <v>58.312223788953091</v>
          </cell>
          <cell r="T22">
            <v>60.53</v>
          </cell>
        </row>
        <row r="23">
          <cell r="S23">
            <v>59.419372048953868</v>
          </cell>
          <cell r="T23">
            <v>60.53</v>
          </cell>
        </row>
        <row r="24">
          <cell r="S24">
            <v>60.529828912167474</v>
          </cell>
          <cell r="T24">
            <v>72.960000000000008</v>
          </cell>
        </row>
        <row r="25">
          <cell r="S25">
            <v>61.643594378593924</v>
          </cell>
          <cell r="T25">
            <v>72.960000000000008</v>
          </cell>
        </row>
        <row r="26">
          <cell r="S26">
            <v>62.76066844823324</v>
          </cell>
          <cell r="T26">
            <v>72.960000000000008</v>
          </cell>
        </row>
        <row r="27">
          <cell r="S27">
            <v>63.88105112108537</v>
          </cell>
          <cell r="T27">
            <v>72.960000000000008</v>
          </cell>
        </row>
        <row r="28">
          <cell r="S28">
            <v>65.004742397150324</v>
          </cell>
          <cell r="T28">
            <v>72.960000000000008</v>
          </cell>
        </row>
        <row r="29">
          <cell r="S29">
            <v>66.131742276428156</v>
          </cell>
          <cell r="T29">
            <v>72.960000000000008</v>
          </cell>
        </row>
        <row r="30">
          <cell r="S30">
            <v>67.262050758918846</v>
          </cell>
          <cell r="T30">
            <v>72.960000000000008</v>
          </cell>
        </row>
        <row r="31">
          <cell r="S31">
            <v>68.395667844622338</v>
          </cell>
          <cell r="T31">
            <v>72.960000000000008</v>
          </cell>
        </row>
        <row r="32">
          <cell r="S32">
            <v>69.532593533538702</v>
          </cell>
          <cell r="T32">
            <v>72.960000000000008</v>
          </cell>
        </row>
        <row r="33">
          <cell r="S33">
            <v>70.672827825667895</v>
          </cell>
          <cell r="T33">
            <v>72.960000000000008</v>
          </cell>
        </row>
        <row r="34">
          <cell r="S34">
            <v>71.816370721009918</v>
          </cell>
          <cell r="T34">
            <v>72.960000000000008</v>
          </cell>
        </row>
        <row r="35">
          <cell r="S35">
            <v>72.963222219564798</v>
          </cell>
          <cell r="T35">
            <v>72.960000000000008</v>
          </cell>
        </row>
      </sheetData>
      <sheetData sheetId="19" refreshError="1">
        <row r="12">
          <cell r="O12">
            <v>0</v>
          </cell>
          <cell r="P12">
            <v>0</v>
          </cell>
        </row>
        <row r="13">
          <cell r="O13">
            <v>0</v>
          </cell>
          <cell r="P13">
            <v>0</v>
          </cell>
        </row>
        <row r="14">
          <cell r="O14">
            <v>0</v>
          </cell>
          <cell r="P14">
            <v>0</v>
          </cell>
        </row>
        <row r="15">
          <cell r="O15">
            <v>0</v>
          </cell>
          <cell r="P15">
            <v>0</v>
          </cell>
        </row>
        <row r="16">
          <cell r="O16">
            <v>0</v>
          </cell>
          <cell r="P16">
            <v>0</v>
          </cell>
        </row>
        <row r="17">
          <cell r="O17">
            <v>0</v>
          </cell>
          <cell r="P17">
            <v>0</v>
          </cell>
        </row>
        <row r="18">
          <cell r="O18">
            <v>0</v>
          </cell>
          <cell r="P18">
            <v>0</v>
          </cell>
        </row>
        <row r="19">
          <cell r="O19">
            <v>0</v>
          </cell>
          <cell r="P19">
            <v>0</v>
          </cell>
        </row>
        <row r="20">
          <cell r="O20">
            <v>0</v>
          </cell>
          <cell r="P20">
            <v>0</v>
          </cell>
        </row>
        <row r="21">
          <cell r="O21">
            <v>0</v>
          </cell>
          <cell r="P21">
            <v>0</v>
          </cell>
        </row>
        <row r="22">
          <cell r="O22">
            <v>0</v>
          </cell>
          <cell r="P22">
            <v>0</v>
          </cell>
        </row>
        <row r="23">
          <cell r="O23">
            <v>0</v>
          </cell>
          <cell r="P23">
            <v>0</v>
          </cell>
        </row>
        <row r="24">
          <cell r="O24">
            <v>0</v>
          </cell>
          <cell r="P24">
            <v>0</v>
          </cell>
        </row>
        <row r="25">
          <cell r="O25">
            <v>0</v>
          </cell>
          <cell r="P25">
            <v>0</v>
          </cell>
        </row>
        <row r="26">
          <cell r="O26">
            <v>0</v>
          </cell>
          <cell r="P26">
            <v>0</v>
          </cell>
        </row>
        <row r="27">
          <cell r="O27">
            <v>0</v>
          </cell>
          <cell r="P27">
            <v>0</v>
          </cell>
        </row>
        <row r="28">
          <cell r="O28">
            <v>0</v>
          </cell>
          <cell r="P28">
            <v>0</v>
          </cell>
        </row>
        <row r="29">
          <cell r="O29">
            <v>0</v>
          </cell>
          <cell r="P29">
            <v>0</v>
          </cell>
        </row>
        <row r="30">
          <cell r="O30">
            <v>0</v>
          </cell>
          <cell r="P30">
            <v>0</v>
          </cell>
        </row>
        <row r="31">
          <cell r="O31">
            <v>0</v>
          </cell>
          <cell r="P31">
            <v>0</v>
          </cell>
        </row>
        <row r="32">
          <cell r="O32">
            <v>0</v>
          </cell>
          <cell r="P32">
            <v>0</v>
          </cell>
        </row>
        <row r="33">
          <cell r="O33">
            <v>0</v>
          </cell>
          <cell r="P33">
            <v>0</v>
          </cell>
        </row>
        <row r="34">
          <cell r="O34">
            <v>0</v>
          </cell>
          <cell r="P34">
            <v>0</v>
          </cell>
        </row>
        <row r="35">
          <cell r="O35">
            <v>0</v>
          </cell>
          <cell r="P35">
            <v>0</v>
          </cell>
        </row>
        <row r="36">
          <cell r="O36">
            <v>0</v>
          </cell>
          <cell r="P36">
            <v>0</v>
          </cell>
        </row>
        <row r="37">
          <cell r="O37">
            <v>0</v>
          </cell>
          <cell r="P37">
            <v>0</v>
          </cell>
        </row>
        <row r="42">
          <cell r="P42" t="str">
            <v xml:space="preserve"> </v>
          </cell>
        </row>
      </sheetData>
      <sheetData sheetId="20" refreshError="1">
        <row r="11">
          <cell r="O11">
            <v>0</v>
          </cell>
          <cell r="P11">
            <v>0</v>
          </cell>
        </row>
        <row r="12">
          <cell r="O12">
            <v>0</v>
          </cell>
          <cell r="P12">
            <v>0</v>
          </cell>
        </row>
        <row r="13">
          <cell r="O13">
            <v>0</v>
          </cell>
          <cell r="P13">
            <v>0</v>
          </cell>
        </row>
        <row r="14">
          <cell r="O14">
            <v>0</v>
          </cell>
          <cell r="P14">
            <v>0</v>
          </cell>
        </row>
        <row r="15">
          <cell r="O15">
            <v>0</v>
          </cell>
          <cell r="P15">
            <v>0</v>
          </cell>
        </row>
        <row r="16">
          <cell r="O16">
            <v>0</v>
          </cell>
          <cell r="P16">
            <v>0</v>
          </cell>
        </row>
        <row r="17">
          <cell r="O17">
            <v>0</v>
          </cell>
          <cell r="P17">
            <v>0</v>
          </cell>
        </row>
        <row r="18">
          <cell r="O18">
            <v>0</v>
          </cell>
          <cell r="P18">
            <v>0</v>
          </cell>
        </row>
        <row r="19">
          <cell r="O19">
            <v>0</v>
          </cell>
          <cell r="P19">
            <v>0</v>
          </cell>
        </row>
        <row r="20">
          <cell r="O20">
            <v>0</v>
          </cell>
          <cell r="P20">
            <v>0</v>
          </cell>
        </row>
        <row r="21">
          <cell r="O21">
            <v>0</v>
          </cell>
          <cell r="P21">
            <v>0</v>
          </cell>
        </row>
        <row r="22">
          <cell r="O22">
            <v>0</v>
          </cell>
          <cell r="P22">
            <v>0</v>
          </cell>
        </row>
        <row r="23">
          <cell r="O23">
            <v>0</v>
          </cell>
          <cell r="P23">
            <v>0</v>
          </cell>
        </row>
        <row r="24">
          <cell r="O24">
            <v>0</v>
          </cell>
          <cell r="P24">
            <v>0</v>
          </cell>
        </row>
        <row r="25">
          <cell r="O25">
            <v>0</v>
          </cell>
          <cell r="P25">
            <v>0</v>
          </cell>
        </row>
        <row r="26">
          <cell r="O26">
            <v>0</v>
          </cell>
          <cell r="P26">
            <v>0</v>
          </cell>
        </row>
        <row r="27">
          <cell r="O27">
            <v>0</v>
          </cell>
          <cell r="P27">
            <v>0</v>
          </cell>
        </row>
        <row r="28">
          <cell r="O28">
            <v>0</v>
          </cell>
          <cell r="P28">
            <v>0</v>
          </cell>
        </row>
        <row r="29">
          <cell r="O29">
            <v>0</v>
          </cell>
          <cell r="P29">
            <v>0</v>
          </cell>
        </row>
        <row r="30">
          <cell r="O30">
            <v>0</v>
          </cell>
          <cell r="P30">
            <v>0</v>
          </cell>
        </row>
        <row r="31">
          <cell r="O31">
            <v>0</v>
          </cell>
          <cell r="P31">
            <v>0</v>
          </cell>
        </row>
        <row r="32">
          <cell r="O32">
            <v>0</v>
          </cell>
          <cell r="P32">
            <v>0</v>
          </cell>
        </row>
        <row r="33">
          <cell r="O33">
            <v>0</v>
          </cell>
          <cell r="P33">
            <v>0</v>
          </cell>
        </row>
        <row r="34">
          <cell r="O34">
            <v>0</v>
          </cell>
          <cell r="P34">
            <v>0</v>
          </cell>
        </row>
        <row r="35">
          <cell r="O35">
            <v>0</v>
          </cell>
          <cell r="P35">
            <v>0</v>
          </cell>
        </row>
        <row r="36">
          <cell r="O36">
            <v>0</v>
          </cell>
          <cell r="P36">
            <v>0</v>
          </cell>
        </row>
      </sheetData>
      <sheetData sheetId="21" refreshError="1">
        <row r="11">
          <cell r="T11">
            <v>19.994175798867118</v>
          </cell>
          <cell r="U11">
            <v>0</v>
          </cell>
        </row>
        <row r="12">
          <cell r="T12">
            <v>18.290584826167816</v>
          </cell>
          <cell r="U12">
            <v>0</v>
          </cell>
        </row>
        <row r="13">
          <cell r="T13">
            <v>19.311060064386588</v>
          </cell>
          <cell r="U13">
            <v>0</v>
          </cell>
        </row>
        <row r="14">
          <cell r="T14">
            <v>20.896939308161038</v>
          </cell>
          <cell r="U14">
            <v>0</v>
          </cell>
        </row>
        <row r="15">
          <cell r="T15">
            <v>-8.4993659237909682</v>
          </cell>
          <cell r="U15">
            <v>0</v>
          </cell>
        </row>
        <row r="16">
          <cell r="T16">
            <v>-7.9099219880602192</v>
          </cell>
          <cell r="U16">
            <v>0</v>
          </cell>
        </row>
        <row r="17">
          <cell r="T17">
            <v>-7.2064694079477434</v>
          </cell>
          <cell r="U17">
            <v>0</v>
          </cell>
        </row>
        <row r="18">
          <cell r="T18">
            <v>-6.506134387817454</v>
          </cell>
          <cell r="U18">
            <v>0</v>
          </cell>
        </row>
        <row r="19">
          <cell r="T19">
            <v>-5.8087438234734705</v>
          </cell>
          <cell r="U19">
            <v>0</v>
          </cell>
        </row>
        <row r="20">
          <cell r="T20">
            <v>-5.1141333754893381</v>
          </cell>
          <cell r="U20">
            <v>35</v>
          </cell>
        </row>
        <row r="21">
          <cell r="T21">
            <v>-4.4221469214099187</v>
          </cell>
          <cell r="U21">
            <v>35</v>
          </cell>
        </row>
        <row r="22">
          <cell r="T22">
            <v>-3.3216158678348364</v>
          </cell>
          <cell r="U22">
            <v>35</v>
          </cell>
        </row>
        <row r="23">
          <cell r="T23">
            <v>-2.2177762110469104</v>
          </cell>
          <cell r="U23">
            <v>35</v>
          </cell>
        </row>
        <row r="24">
          <cell r="T24">
            <v>-1.1106279510461334</v>
          </cell>
          <cell r="U24">
            <v>35</v>
          </cell>
        </row>
        <row r="25">
          <cell r="T25">
            <v>-12.430171087832534</v>
          </cell>
          <cell r="U25">
            <v>35</v>
          </cell>
        </row>
        <row r="26">
          <cell r="T26">
            <v>-11.316405621406084</v>
          </cell>
          <cell r="U26">
            <v>35</v>
          </cell>
        </row>
        <row r="27">
          <cell r="T27">
            <v>-10.199331551766768</v>
          </cell>
          <cell r="U27">
            <v>35</v>
          </cell>
        </row>
        <row r="28">
          <cell r="T28">
            <v>-9.0789488789146375</v>
          </cell>
          <cell r="U28">
            <v>35</v>
          </cell>
        </row>
        <row r="29">
          <cell r="T29">
            <v>-7.9552576028496844</v>
          </cell>
          <cell r="U29">
            <v>35</v>
          </cell>
        </row>
        <row r="30">
          <cell r="T30">
            <v>-6.828257723571852</v>
          </cell>
          <cell r="U30">
            <v>35</v>
          </cell>
        </row>
        <row r="31">
          <cell r="T31">
            <v>-5.6979492410811616</v>
          </cell>
          <cell r="U31">
            <v>35</v>
          </cell>
        </row>
        <row r="32">
          <cell r="T32">
            <v>-4.5643321553776701</v>
          </cell>
          <cell r="U32">
            <v>35</v>
          </cell>
        </row>
        <row r="33">
          <cell r="T33">
            <v>-3.4274064664613064</v>
          </cell>
          <cell r="U33">
            <v>35</v>
          </cell>
        </row>
        <row r="34">
          <cell r="T34">
            <v>-2.2871721743321132</v>
          </cell>
          <cell r="U34">
            <v>35</v>
          </cell>
        </row>
        <row r="35">
          <cell r="T35">
            <v>-1.1436292789900904</v>
          </cell>
          <cell r="U35">
            <v>35</v>
          </cell>
        </row>
        <row r="36">
          <cell r="T36">
            <v>3.2222195647904073E-3</v>
          </cell>
          <cell r="U36">
            <v>35</v>
          </cell>
        </row>
      </sheetData>
      <sheetData sheetId="22" refreshError="1">
        <row r="12">
          <cell r="O12">
            <v>47.494175798867118</v>
          </cell>
          <cell r="P12">
            <v>22</v>
          </cell>
        </row>
        <row r="13">
          <cell r="O13">
            <v>48.790584826167816</v>
          </cell>
          <cell r="P13">
            <v>27.58</v>
          </cell>
        </row>
        <row r="14">
          <cell r="O14">
            <v>49.811060064386588</v>
          </cell>
          <cell r="P14">
            <v>27.58</v>
          </cell>
        </row>
        <row r="15">
          <cell r="O15">
            <v>51.396939308161038</v>
          </cell>
          <cell r="P15">
            <v>27.58</v>
          </cell>
        </row>
        <row r="16">
          <cell r="O16">
            <v>52.030634076209033</v>
          </cell>
          <cell r="P16">
            <v>72.960000000000008</v>
          </cell>
        </row>
        <row r="17">
          <cell r="O17">
            <v>52.620078011939782</v>
          </cell>
          <cell r="P17">
            <v>72.960000000000008</v>
          </cell>
        </row>
        <row r="18">
          <cell r="O18">
            <v>53.323530592052258</v>
          </cell>
          <cell r="P18">
            <v>72.960000000000008</v>
          </cell>
        </row>
        <row r="19">
          <cell r="O19">
            <v>54.023865612182547</v>
          </cell>
          <cell r="P19">
            <v>72.960000000000008</v>
          </cell>
        </row>
        <row r="20">
          <cell r="O20">
            <v>54.721256176526531</v>
          </cell>
          <cell r="P20">
            <v>72.960000000000008</v>
          </cell>
        </row>
        <row r="21">
          <cell r="O21">
            <v>55.415866624510663</v>
          </cell>
          <cell r="P21">
            <v>72.960000000000008</v>
          </cell>
        </row>
        <row r="22">
          <cell r="O22">
            <v>56.107853078590082</v>
          </cell>
          <cell r="P22">
            <v>72.960000000000008</v>
          </cell>
        </row>
        <row r="23">
          <cell r="O23">
            <v>57.208384132165165</v>
          </cell>
          <cell r="P23">
            <v>72.960000000000008</v>
          </cell>
        </row>
        <row r="24">
          <cell r="O24">
            <v>58.312223788953091</v>
          </cell>
          <cell r="P24">
            <v>72.960000000000008</v>
          </cell>
        </row>
        <row r="25">
          <cell r="O25">
            <v>59.419372048953868</v>
          </cell>
          <cell r="P25">
            <v>72.960000000000008</v>
          </cell>
        </row>
        <row r="26">
          <cell r="O26">
            <v>60.529828912167474</v>
          </cell>
          <cell r="P26">
            <v>72.960000000000008</v>
          </cell>
        </row>
        <row r="27">
          <cell r="O27">
            <v>61.643594378593924</v>
          </cell>
          <cell r="P27">
            <v>72.960000000000008</v>
          </cell>
        </row>
        <row r="28">
          <cell r="O28">
            <v>62.76066844823324</v>
          </cell>
          <cell r="P28">
            <v>72.960000000000008</v>
          </cell>
        </row>
        <row r="29">
          <cell r="O29">
            <v>63.88105112108537</v>
          </cell>
          <cell r="P29">
            <v>72.960000000000008</v>
          </cell>
        </row>
        <row r="30">
          <cell r="O30">
            <v>65.004742397150324</v>
          </cell>
          <cell r="P30">
            <v>72.960000000000008</v>
          </cell>
        </row>
        <row r="31">
          <cell r="O31">
            <v>66.131742276428156</v>
          </cell>
          <cell r="P31">
            <v>72.960000000000008</v>
          </cell>
        </row>
        <row r="32">
          <cell r="O32">
            <v>67.262050758918846</v>
          </cell>
          <cell r="P32">
            <v>72.960000000000008</v>
          </cell>
        </row>
        <row r="33">
          <cell r="O33">
            <v>68.395667844622338</v>
          </cell>
          <cell r="P33">
            <v>72.960000000000008</v>
          </cell>
        </row>
        <row r="34">
          <cell r="O34">
            <v>69.532593533538702</v>
          </cell>
          <cell r="P34">
            <v>72.960000000000008</v>
          </cell>
        </row>
        <row r="35">
          <cell r="O35">
            <v>70.672827825667895</v>
          </cell>
          <cell r="P35">
            <v>72.960000000000008</v>
          </cell>
        </row>
        <row r="36">
          <cell r="O36">
            <v>71.816370721009918</v>
          </cell>
          <cell r="P36">
            <v>72.960000000000008</v>
          </cell>
        </row>
        <row r="37">
          <cell r="O37">
            <v>72.963222219564798</v>
          </cell>
          <cell r="P37">
            <v>72.960000000000008</v>
          </cell>
        </row>
      </sheetData>
      <sheetData sheetId="23" refreshError="1">
        <row r="14">
          <cell r="O14">
            <v>1042</v>
          </cell>
          <cell r="P14">
            <v>400</v>
          </cell>
        </row>
        <row r="15">
          <cell r="O15">
            <v>1070</v>
          </cell>
          <cell r="P15">
            <v>550</v>
          </cell>
        </row>
        <row r="16">
          <cell r="O16">
            <v>1092</v>
          </cell>
          <cell r="P16">
            <v>550</v>
          </cell>
        </row>
        <row r="17">
          <cell r="O17">
            <v>1127</v>
          </cell>
          <cell r="P17">
            <v>550</v>
          </cell>
        </row>
        <row r="18">
          <cell r="O18">
            <v>1141</v>
          </cell>
          <cell r="P18">
            <v>1450</v>
          </cell>
        </row>
        <row r="19">
          <cell r="O19">
            <v>1154</v>
          </cell>
          <cell r="P19">
            <v>1450</v>
          </cell>
        </row>
        <row r="20">
          <cell r="O20">
            <v>1170</v>
          </cell>
          <cell r="P20">
            <v>1450</v>
          </cell>
        </row>
        <row r="21">
          <cell r="O21">
            <v>1185</v>
          </cell>
          <cell r="P21">
            <v>1450</v>
          </cell>
        </row>
        <row r="22">
          <cell r="O22">
            <v>1200</v>
          </cell>
          <cell r="P22">
            <v>1450</v>
          </cell>
        </row>
        <row r="23">
          <cell r="O23">
            <v>1215</v>
          </cell>
          <cell r="P23">
            <v>1450</v>
          </cell>
        </row>
        <row r="24">
          <cell r="O24">
            <v>1231</v>
          </cell>
          <cell r="P24">
            <v>1450</v>
          </cell>
        </row>
        <row r="25">
          <cell r="O25">
            <v>1255</v>
          </cell>
          <cell r="P25">
            <v>1450</v>
          </cell>
        </row>
        <row r="26">
          <cell r="O26">
            <v>1279</v>
          </cell>
          <cell r="P26">
            <v>1450</v>
          </cell>
        </row>
        <row r="27">
          <cell r="O27">
            <v>1303</v>
          </cell>
          <cell r="P27">
            <v>1450</v>
          </cell>
        </row>
        <row r="28">
          <cell r="O28">
            <v>1328</v>
          </cell>
          <cell r="P28">
            <v>1450</v>
          </cell>
        </row>
        <row r="29">
          <cell r="O29">
            <v>1352</v>
          </cell>
          <cell r="P29">
            <v>1450</v>
          </cell>
        </row>
        <row r="30">
          <cell r="O30">
            <v>1376</v>
          </cell>
          <cell r="P30">
            <v>1450</v>
          </cell>
        </row>
        <row r="31">
          <cell r="O31">
            <v>1401</v>
          </cell>
          <cell r="P31">
            <v>1450</v>
          </cell>
        </row>
        <row r="32">
          <cell r="O32">
            <v>1426</v>
          </cell>
          <cell r="P32">
            <v>1650</v>
          </cell>
        </row>
        <row r="33">
          <cell r="O33">
            <v>1450</v>
          </cell>
          <cell r="P33">
            <v>1650</v>
          </cell>
        </row>
        <row r="34">
          <cell r="O34">
            <v>1475</v>
          </cell>
          <cell r="P34">
            <v>1650</v>
          </cell>
        </row>
        <row r="35">
          <cell r="O35">
            <v>1500</v>
          </cell>
          <cell r="P35">
            <v>1650</v>
          </cell>
        </row>
        <row r="36">
          <cell r="O36">
            <v>1525</v>
          </cell>
          <cell r="P36">
            <v>1650</v>
          </cell>
        </row>
        <row r="37">
          <cell r="O37">
            <v>1550</v>
          </cell>
          <cell r="P37">
            <v>1650</v>
          </cell>
        </row>
        <row r="38">
          <cell r="O38">
            <v>1575</v>
          </cell>
          <cell r="P38">
            <v>1650</v>
          </cell>
        </row>
        <row r="39">
          <cell r="O39">
            <v>1600</v>
          </cell>
          <cell r="P39">
            <v>1650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11">
          <cell r="S11">
            <v>2885</v>
          </cell>
          <cell r="T11">
            <v>2885</v>
          </cell>
        </row>
        <row r="12">
          <cell r="S12">
            <v>2967.5667883691622</v>
          </cell>
          <cell r="T12">
            <v>2967.5667883691622</v>
          </cell>
        </row>
        <row r="13">
          <cell r="S13">
            <v>3112.0220517964444</v>
          </cell>
          <cell r="T13">
            <v>3112.0220517964444</v>
          </cell>
        </row>
        <row r="14">
          <cell r="S14">
            <v>3337.7494253920922</v>
          </cell>
          <cell r="T14">
            <v>3337.7494253920922</v>
          </cell>
        </row>
        <row r="15">
          <cell r="S15">
            <v>3491.2450351161069</v>
          </cell>
          <cell r="T15">
            <v>3491.2450351161069</v>
          </cell>
        </row>
        <row r="16">
          <cell r="S16">
            <v>3648.4277447116006</v>
          </cell>
          <cell r="T16">
            <v>3648.4277447116006</v>
          </cell>
        </row>
        <row r="17">
          <cell r="S17">
            <v>3767.9078601676383</v>
          </cell>
          <cell r="T17">
            <v>3767.9078601676383</v>
          </cell>
        </row>
        <row r="18">
          <cell r="S18">
            <v>3889.3665639546412</v>
          </cell>
          <cell r="T18">
            <v>3889.3665639546412</v>
          </cell>
        </row>
        <row r="19">
          <cell r="S19">
            <v>4012.8117995076245</v>
          </cell>
          <cell r="T19">
            <v>4012.8117995076245</v>
          </cell>
        </row>
        <row r="20">
          <cell r="S20">
            <v>4138.2515102616007</v>
          </cell>
          <cell r="T20">
            <v>4138.2515102616007</v>
          </cell>
        </row>
        <row r="21">
          <cell r="S21">
            <v>4265.6936396515839</v>
          </cell>
          <cell r="T21">
            <v>4265.6936396515839</v>
          </cell>
        </row>
        <row r="22">
          <cell r="S22">
            <v>4349.3633589134961</v>
          </cell>
          <cell r="T22">
            <v>4349.3633589134961</v>
          </cell>
        </row>
        <row r="23">
          <cell r="S23">
            <v>4433.2846202841647</v>
          </cell>
          <cell r="T23">
            <v>4433.2846202841647</v>
          </cell>
        </row>
        <row r="24">
          <cell r="S24">
            <v>4517.4574237635907</v>
          </cell>
          <cell r="T24">
            <v>4517.4574237635907</v>
          </cell>
        </row>
        <row r="25">
          <cell r="S25">
            <v>4601.8817693517703</v>
          </cell>
          <cell r="T25">
            <v>4601.8817693517703</v>
          </cell>
        </row>
        <row r="26">
          <cell r="S26">
            <v>4686.5576570487065</v>
          </cell>
          <cell r="T26">
            <v>4686.5576570487065</v>
          </cell>
        </row>
        <row r="27">
          <cell r="S27">
            <v>4771.4850868543999</v>
          </cell>
          <cell r="T27">
            <v>4771.4850868543999</v>
          </cell>
        </row>
        <row r="28">
          <cell r="S28">
            <v>4856.6640587688471</v>
          </cell>
          <cell r="T28">
            <v>4856.6640587688471</v>
          </cell>
        </row>
        <row r="29">
          <cell r="S29">
            <v>4942.0945727920507</v>
          </cell>
          <cell r="T29">
            <v>4942.0945727920507</v>
          </cell>
        </row>
        <row r="30">
          <cell r="S30">
            <v>5027.7766289240108</v>
          </cell>
          <cell r="T30">
            <v>5027.7766289240108</v>
          </cell>
        </row>
        <row r="31">
          <cell r="S31">
            <v>5113.7102271647273</v>
          </cell>
          <cell r="T31">
            <v>5113.7102271647273</v>
          </cell>
        </row>
        <row r="32">
          <cell r="S32">
            <v>5199.8953675141984</v>
          </cell>
          <cell r="T32">
            <v>5199.8953675141984</v>
          </cell>
        </row>
        <row r="33">
          <cell r="S33">
            <v>5286.3320499724259</v>
          </cell>
          <cell r="T33">
            <v>5286.3320499724259</v>
          </cell>
        </row>
        <row r="34">
          <cell r="S34">
            <v>5373.0202745394099</v>
          </cell>
          <cell r="T34">
            <v>5373.0202745394099</v>
          </cell>
        </row>
        <row r="35">
          <cell r="S35">
            <v>5459.9600412151476</v>
          </cell>
          <cell r="T35">
            <v>5459.9600412151476</v>
          </cell>
        </row>
        <row r="36">
          <cell r="S36">
            <v>5547.1513499996436</v>
          </cell>
          <cell r="T36">
            <v>5547.1513499996436</v>
          </cell>
        </row>
      </sheetData>
      <sheetData sheetId="29" refreshError="1">
        <row r="11">
          <cell r="S11">
            <v>2885</v>
          </cell>
          <cell r="T11">
            <v>2805</v>
          </cell>
        </row>
        <row r="12">
          <cell r="S12">
            <v>2967.5667883691622</v>
          </cell>
          <cell r="T12">
            <v>2890.0202871366382</v>
          </cell>
        </row>
        <row r="13">
          <cell r="S13">
            <v>3112.0220517964444</v>
          </cell>
          <cell r="T13">
            <v>3044.5056711991183</v>
          </cell>
        </row>
        <row r="14">
          <cell r="S14">
            <v>3337.7494253920922</v>
          </cell>
          <cell r="T14">
            <v>3279.7954417213523</v>
          </cell>
        </row>
        <row r="15">
          <cell r="S15">
            <v>3491.2450351161069</v>
          </cell>
          <cell r="T15">
            <v>3461.0199213230135</v>
          </cell>
        </row>
        <row r="16">
          <cell r="S16">
            <v>3648.4277447116006</v>
          </cell>
          <cell r="T16">
            <v>3648.4277447116006</v>
          </cell>
        </row>
        <row r="17">
          <cell r="S17">
            <v>3767.9078601676383</v>
          </cell>
          <cell r="T17">
            <v>3767.9078601676383</v>
          </cell>
        </row>
        <row r="18">
          <cell r="S18">
            <v>3889.3665639546412</v>
          </cell>
          <cell r="T18">
            <v>3889.3665639546412</v>
          </cell>
        </row>
        <row r="19">
          <cell r="S19">
            <v>4012.8117995076245</v>
          </cell>
          <cell r="T19">
            <v>4012.8117995076245</v>
          </cell>
        </row>
        <row r="20">
          <cell r="S20">
            <v>4138.2515102616007</v>
          </cell>
          <cell r="T20">
            <v>4138.2515102616007</v>
          </cell>
        </row>
        <row r="21">
          <cell r="S21">
            <v>4265.6936396515839</v>
          </cell>
          <cell r="T21">
            <v>4265.6936396515839</v>
          </cell>
        </row>
        <row r="22">
          <cell r="S22">
            <v>4349.3633589134961</v>
          </cell>
          <cell r="T22">
            <v>4349.3633589134961</v>
          </cell>
        </row>
        <row r="23">
          <cell r="S23">
            <v>4433.2846202841647</v>
          </cell>
          <cell r="T23">
            <v>4433.2846202841647</v>
          </cell>
        </row>
        <row r="24">
          <cell r="S24">
            <v>4517.4574237635907</v>
          </cell>
          <cell r="T24">
            <v>4517.4574237635907</v>
          </cell>
        </row>
        <row r="25">
          <cell r="S25">
            <v>4601.8817693517703</v>
          </cell>
          <cell r="T25">
            <v>4601.8817693517703</v>
          </cell>
        </row>
        <row r="26">
          <cell r="S26">
            <v>4686.5576570487065</v>
          </cell>
          <cell r="T26">
            <v>4686.5576570487065</v>
          </cell>
        </row>
        <row r="27">
          <cell r="S27">
            <v>4771.4850868543999</v>
          </cell>
          <cell r="T27">
            <v>4771.4850868543999</v>
          </cell>
        </row>
        <row r="28">
          <cell r="S28">
            <v>4856.6640587688471</v>
          </cell>
          <cell r="T28">
            <v>4856.6640587688471</v>
          </cell>
        </row>
        <row r="29">
          <cell r="S29">
            <v>4942.0945727920507</v>
          </cell>
          <cell r="T29">
            <v>4942.0945727920507</v>
          </cell>
        </row>
        <row r="30">
          <cell r="S30">
            <v>5027.7766289240108</v>
          </cell>
          <cell r="T30">
            <v>5027.7766289240108</v>
          </cell>
        </row>
        <row r="31">
          <cell r="S31">
            <v>5113.7102271647273</v>
          </cell>
          <cell r="T31">
            <v>5113.7102271647273</v>
          </cell>
        </row>
        <row r="32">
          <cell r="S32">
            <v>5199.8953675141984</v>
          </cell>
          <cell r="T32">
            <v>5199.8953675141984</v>
          </cell>
        </row>
        <row r="33">
          <cell r="S33">
            <v>5286.3320499724259</v>
          </cell>
          <cell r="T33">
            <v>5286.3320499724259</v>
          </cell>
        </row>
        <row r="34">
          <cell r="S34">
            <v>5373.0202745394099</v>
          </cell>
          <cell r="T34">
            <v>5373.0202745394099</v>
          </cell>
        </row>
        <row r="35">
          <cell r="S35">
            <v>5459.9600412151476</v>
          </cell>
          <cell r="T35">
            <v>5459.9600412151476</v>
          </cell>
        </row>
        <row r="36">
          <cell r="S36">
            <v>5547.1513499996436</v>
          </cell>
          <cell r="T36">
            <v>5547.1513499996436</v>
          </cell>
        </row>
      </sheetData>
      <sheetData sheetId="30" refreshError="1"/>
      <sheetData sheetId="31" refreshError="1"/>
      <sheetData sheetId="32" refreshError="1">
        <row r="12">
          <cell r="X12">
            <v>15.797456608648472</v>
          </cell>
          <cell r="Y12">
            <v>0</v>
          </cell>
        </row>
        <row r="13">
          <cell r="X13">
            <v>17.401832487566939</v>
          </cell>
          <cell r="Y13">
            <v>0</v>
          </cell>
        </row>
        <row r="14">
          <cell r="X14">
            <v>18.825282310871792</v>
          </cell>
          <cell r="Y14">
            <v>25</v>
          </cell>
        </row>
        <row r="15">
          <cell r="X15">
            <v>20.303460109995477</v>
          </cell>
          <cell r="Y15">
            <v>25</v>
          </cell>
        </row>
        <row r="16">
          <cell r="X16">
            <v>22.999986797742444</v>
          </cell>
          <cell r="Y16">
            <v>25</v>
          </cell>
        </row>
        <row r="17">
          <cell r="X17">
            <v>24.500932181847574</v>
          </cell>
          <cell r="Y17">
            <v>25</v>
          </cell>
        </row>
        <row r="18">
          <cell r="X18">
            <v>25.117760594429942</v>
          </cell>
          <cell r="Y18">
            <v>25</v>
          </cell>
        </row>
        <row r="19">
          <cell r="X19">
            <v>25.746995111959102</v>
          </cell>
          <cell r="Y19">
            <v>25</v>
          </cell>
        </row>
        <row r="20">
          <cell r="X20">
            <v>26.388685876712469</v>
          </cell>
          <cell r="Y20">
            <v>25</v>
          </cell>
        </row>
        <row r="21">
          <cell r="X21">
            <v>27.042883030967459</v>
          </cell>
          <cell r="Y21">
            <v>25</v>
          </cell>
        </row>
        <row r="22">
          <cell r="X22">
            <v>27.709636717001452</v>
          </cell>
          <cell r="Y22">
            <v>25</v>
          </cell>
        </row>
        <row r="23">
          <cell r="X23">
            <v>28.209997109211709</v>
          </cell>
          <cell r="Y23">
            <v>25</v>
          </cell>
        </row>
        <row r="24">
          <cell r="X24">
            <v>28.711861769743951</v>
          </cell>
          <cell r="Y24">
            <v>25</v>
          </cell>
        </row>
        <row r="25">
          <cell r="X25">
            <v>29.215230698598173</v>
          </cell>
          <cell r="Y25">
            <v>25</v>
          </cell>
        </row>
        <row r="26">
          <cell r="X26">
            <v>29.720103895774376</v>
          </cell>
          <cell r="Y26">
            <v>25</v>
          </cell>
        </row>
        <row r="27">
          <cell r="X27">
            <v>30.226481361272544</v>
          </cell>
          <cell r="Y27">
            <v>25</v>
          </cell>
        </row>
        <row r="28">
          <cell r="X28">
            <v>30.7343630950927</v>
          </cell>
          <cell r="Y28">
            <v>25</v>
          </cell>
        </row>
        <row r="29">
          <cell r="X29">
            <v>31.243749097234833</v>
          </cell>
          <cell r="Y29">
            <v>25</v>
          </cell>
        </row>
        <row r="30">
          <cell r="X30">
            <v>31.754639367698939</v>
          </cell>
          <cell r="Y30">
            <v>25</v>
          </cell>
        </row>
        <row r="31">
          <cell r="X31">
            <v>32.267033906485032</v>
          </cell>
          <cell r="Y31">
            <v>25</v>
          </cell>
        </row>
        <row r="32">
          <cell r="X32">
            <v>32.780932713593103</v>
          </cell>
          <cell r="Y32">
            <v>25</v>
          </cell>
        </row>
        <row r="33">
          <cell r="X33">
            <v>33.296335789023146</v>
          </cell>
          <cell r="Y33">
            <v>33</v>
          </cell>
        </row>
        <row r="34">
          <cell r="X34">
            <v>33.813243132775163</v>
          </cell>
          <cell r="Y34">
            <v>33</v>
          </cell>
        </row>
        <row r="35">
          <cell r="X35">
            <v>34.33165474484916</v>
          </cell>
          <cell r="Y35">
            <v>33</v>
          </cell>
        </row>
        <row r="36">
          <cell r="X36">
            <v>34.851570625245138</v>
          </cell>
          <cell r="Y36">
            <v>33</v>
          </cell>
        </row>
        <row r="37">
          <cell r="X37">
            <v>35.372990773963096</v>
          </cell>
          <cell r="Y37">
            <v>33</v>
          </cell>
        </row>
      </sheetData>
      <sheetData sheetId="33" refreshError="1">
        <row r="10">
          <cell r="V10">
            <v>28.435421895567252</v>
          </cell>
          <cell r="W10">
            <v>21.4</v>
          </cell>
        </row>
        <row r="11">
          <cell r="V11">
            <v>31.32329847762049</v>
          </cell>
          <cell r="W11">
            <v>21.4</v>
          </cell>
        </row>
        <row r="12">
          <cell r="V12">
            <v>33.885508159569227</v>
          </cell>
          <cell r="W12">
            <v>25</v>
          </cell>
        </row>
        <row r="13">
          <cell r="V13">
            <v>36.546228197991859</v>
          </cell>
          <cell r="W13">
            <v>25</v>
          </cell>
        </row>
        <row r="14">
          <cell r="V14">
            <v>41.3999762359364</v>
          </cell>
          <cell r="W14">
            <v>25</v>
          </cell>
        </row>
        <row r="15">
          <cell r="V15">
            <v>44.101677927325632</v>
          </cell>
          <cell r="W15">
            <v>25</v>
          </cell>
        </row>
        <row r="16">
          <cell r="V16">
            <v>45.211969069973897</v>
          </cell>
          <cell r="W16">
            <v>25</v>
          </cell>
        </row>
        <row r="17">
          <cell r="V17">
            <v>46.344591201526384</v>
          </cell>
          <cell r="W17">
            <v>60</v>
          </cell>
        </row>
        <row r="18">
          <cell r="V18">
            <v>47.499634578082443</v>
          </cell>
          <cell r="W18">
            <v>60</v>
          </cell>
        </row>
        <row r="19">
          <cell r="V19">
            <v>48.677189455741427</v>
          </cell>
          <cell r="W19">
            <v>60</v>
          </cell>
        </row>
        <row r="20">
          <cell r="V20">
            <v>49.877346090602614</v>
          </cell>
          <cell r="W20">
            <v>60</v>
          </cell>
        </row>
        <row r="21">
          <cell r="V21">
            <v>50.777994796581076</v>
          </cell>
          <cell r="W21">
            <v>60</v>
          </cell>
        </row>
        <row r="22">
          <cell r="V22">
            <v>51.681351185539114</v>
          </cell>
          <cell r="W22">
            <v>60</v>
          </cell>
        </row>
        <row r="23">
          <cell r="V23">
            <v>52.587415257476714</v>
          </cell>
          <cell r="W23">
            <v>60</v>
          </cell>
        </row>
        <row r="24">
          <cell r="V24">
            <v>53.496187012393875</v>
          </cell>
          <cell r="W24">
            <v>60</v>
          </cell>
        </row>
        <row r="25">
          <cell r="V25">
            <v>54.407666450290577</v>
          </cell>
          <cell r="W25">
            <v>60</v>
          </cell>
        </row>
        <row r="26">
          <cell r="V26">
            <v>55.321853571166862</v>
          </cell>
          <cell r="W26">
            <v>60</v>
          </cell>
        </row>
        <row r="27">
          <cell r="V27">
            <v>56.238748375022702</v>
          </cell>
          <cell r="W27">
            <v>60</v>
          </cell>
        </row>
        <row r="28">
          <cell r="V28">
            <v>57.158350861858089</v>
          </cell>
          <cell r="W28">
            <v>60</v>
          </cell>
        </row>
        <row r="29">
          <cell r="V29">
            <v>58.08066103167306</v>
          </cell>
          <cell r="W29">
            <v>60</v>
          </cell>
        </row>
        <row r="30">
          <cell r="V30">
            <v>59.005678884467585</v>
          </cell>
          <cell r="W30">
            <v>60</v>
          </cell>
        </row>
        <row r="31">
          <cell r="V31">
            <v>59.933404420241665</v>
          </cell>
          <cell r="W31">
            <v>60</v>
          </cell>
        </row>
        <row r="32">
          <cell r="V32">
            <v>60.863837638995292</v>
          </cell>
          <cell r="W32">
            <v>60</v>
          </cell>
        </row>
        <row r="33">
          <cell r="V33">
            <v>61.796978540728489</v>
          </cell>
          <cell r="W33">
            <v>60</v>
          </cell>
        </row>
        <row r="34">
          <cell r="V34">
            <v>62.732827125441247</v>
          </cell>
          <cell r="W34">
            <v>60</v>
          </cell>
        </row>
        <row r="35">
          <cell r="V35">
            <v>63.671383393133574</v>
          </cell>
          <cell r="W35">
            <v>60</v>
          </cell>
        </row>
      </sheetData>
      <sheetData sheetId="34" refreshError="1">
        <row r="11">
          <cell r="Q11">
            <v>2000</v>
          </cell>
          <cell r="R11">
            <v>1977</v>
          </cell>
          <cell r="S11">
            <v>1977</v>
          </cell>
        </row>
        <row r="12">
          <cell r="Q12">
            <v>2001</v>
          </cell>
          <cell r="R12">
            <v>2225.6750912768716</v>
          </cell>
          <cell r="S12">
            <v>2225.6750912768716</v>
          </cell>
        </row>
        <row r="13">
          <cell r="Q13">
            <v>2002</v>
          </cell>
          <cell r="R13">
            <v>2466.8467483752306</v>
          </cell>
          <cell r="S13">
            <v>2466.8467483752306</v>
          </cell>
        </row>
        <row r="14">
          <cell r="Q14">
            <v>2003</v>
          </cell>
          <cell r="R14">
            <v>2716.7727881098422</v>
          </cell>
          <cell r="S14">
            <v>2716.7727881098422</v>
          </cell>
        </row>
        <row r="15">
          <cell r="Q15">
            <v>2004</v>
          </cell>
          <cell r="R15">
            <v>3173.8591228328241</v>
          </cell>
          <cell r="S15">
            <v>3173.8591228328241</v>
          </cell>
        </row>
        <row r="16">
          <cell r="Q16">
            <v>2005</v>
          </cell>
          <cell r="R16">
            <v>3445.7373144498447</v>
          </cell>
          <cell r="S16">
            <v>3445.7373144498447</v>
          </cell>
        </row>
        <row r="17">
          <cell r="Q17">
            <v>2006</v>
          </cell>
          <cell r="R17">
            <v>3560.8799557628226</v>
          </cell>
          <cell r="S17">
            <v>3560.8799557628226</v>
          </cell>
        </row>
        <row r="18">
          <cell r="Q18">
            <v>2007</v>
          </cell>
          <cell r="R18">
            <v>3677.9879463484108</v>
          </cell>
          <cell r="S18">
            <v>3677.9879463484108</v>
          </cell>
        </row>
        <row r="19">
          <cell r="Q19">
            <v>2008</v>
          </cell>
          <cell r="R19">
            <v>3797.0692296416223</v>
          </cell>
          <cell r="S19">
            <v>3797.0692296416223</v>
          </cell>
        </row>
        <row r="20">
          <cell r="Q20">
            <v>2009</v>
          </cell>
          <cell r="R20">
            <v>3918.1317490774732</v>
          </cell>
          <cell r="S20">
            <v>3918.1317490774732</v>
          </cell>
        </row>
        <row r="21">
          <cell r="Q21">
            <v>2010</v>
          </cell>
          <cell r="R21">
            <v>4041.1834480909743</v>
          </cell>
          <cell r="S21">
            <v>4041.1834480909743</v>
          </cell>
        </row>
        <row r="22">
          <cell r="Q22">
            <v>2011</v>
          </cell>
          <cell r="R22">
            <v>4120.4494979180499</v>
          </cell>
          <cell r="S22">
            <v>4120.4494979180499</v>
          </cell>
        </row>
        <row r="23">
          <cell r="Q23">
            <v>2012</v>
          </cell>
          <cell r="R23">
            <v>4199.9538507955249</v>
          </cell>
          <cell r="S23">
            <v>4199.9538507955249</v>
          </cell>
        </row>
        <row r="24">
          <cell r="Q24">
            <v>2013</v>
          </cell>
          <cell r="R24">
            <v>4279.6965067234014</v>
          </cell>
          <cell r="S24">
            <v>4279.6965067234014</v>
          </cell>
        </row>
        <row r="25">
          <cell r="Q25">
            <v>2014</v>
          </cell>
          <cell r="R25">
            <v>4359.6774657016776</v>
          </cell>
          <cell r="S25">
            <v>4359.6774657016776</v>
          </cell>
        </row>
        <row r="26">
          <cell r="Q26">
            <v>2015</v>
          </cell>
          <cell r="R26">
            <v>4439.8967277303536</v>
          </cell>
          <cell r="S26">
            <v>4439.8967277303536</v>
          </cell>
        </row>
        <row r="27">
          <cell r="Q27">
            <v>2016</v>
          </cell>
          <cell r="R27">
            <v>4520.3542928094312</v>
          </cell>
          <cell r="S27">
            <v>4520.3542928094312</v>
          </cell>
        </row>
        <row r="28">
          <cell r="Q28">
            <v>2017</v>
          </cell>
          <cell r="R28">
            <v>4601.0501609389084</v>
          </cell>
          <cell r="S28">
            <v>4601.0501609389084</v>
          </cell>
        </row>
        <row r="29">
          <cell r="Q29">
            <v>2018</v>
          </cell>
          <cell r="R29">
            <v>4681.9843321187846</v>
          </cell>
          <cell r="S29">
            <v>4681.9843321187846</v>
          </cell>
        </row>
        <row r="30">
          <cell r="Q30">
            <v>2019</v>
          </cell>
          <cell r="R30">
            <v>4763.1568063490631</v>
          </cell>
          <cell r="S30">
            <v>4763.1568063490631</v>
          </cell>
        </row>
        <row r="31">
          <cell r="Q31">
            <v>2020</v>
          </cell>
          <cell r="R31">
            <v>4844.5675836297414</v>
          </cell>
          <cell r="S31">
            <v>4844.5675836297414</v>
          </cell>
        </row>
        <row r="32">
          <cell r="Q32">
            <v>2021</v>
          </cell>
          <cell r="R32">
            <v>4926.2166639608195</v>
          </cell>
          <cell r="S32">
            <v>4926.2166639608195</v>
          </cell>
        </row>
        <row r="33">
          <cell r="Q33">
            <v>2022</v>
          </cell>
          <cell r="R33">
            <v>5008.1040473422981</v>
          </cell>
          <cell r="S33">
            <v>5008.1040473422981</v>
          </cell>
        </row>
        <row r="34">
          <cell r="Q34">
            <v>2023</v>
          </cell>
          <cell r="R34">
            <v>5090.2297337741775</v>
          </cell>
          <cell r="S34">
            <v>5090.2297337741775</v>
          </cell>
        </row>
        <row r="35">
          <cell r="Q35">
            <v>2024</v>
          </cell>
          <cell r="R35">
            <v>5172.5937232564565</v>
          </cell>
          <cell r="S35">
            <v>5172.5937232564565</v>
          </cell>
        </row>
        <row r="36">
          <cell r="Q36">
            <v>2025</v>
          </cell>
          <cell r="R36">
            <v>5255.1960157891363</v>
          </cell>
          <cell r="S36">
            <v>5255.1960157891363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Estructura Pob"/>
      <sheetName val="Perfil epidemiologico"/>
      <sheetName val="Calculos"/>
      <sheetName val="Calculo casos"/>
      <sheetName val="Uso de medios"/>
      <sheetName val="Demanda de medios"/>
      <sheetName val="Oferta de medios"/>
      <sheetName val="Balance Oferta - Dda"/>
      <sheetName val="Consultorios"/>
      <sheetName val="Resultados"/>
      <sheetName val="Gráfic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Rangos"/>
      <sheetName val="Input compras"/>
      <sheetName val="Input espacios"/>
      <sheetName val="Eficacia"/>
      <sheetName val="Calculos"/>
      <sheetName val="Grafico"/>
      <sheetName val="Demanda Insatisfecha"/>
      <sheetName val="Resultados"/>
      <sheetName val="Costos"/>
      <sheetName val="Resumen de recursos"/>
      <sheetName val="Resumen Inv"/>
      <sheetName val="OyM formato"/>
      <sheetName val="Resumen Costos"/>
      <sheetName val="Inversion formato"/>
      <sheetName val="Beneficio"/>
      <sheetName val="Resultado formato"/>
      <sheetName val="Caso Base"/>
      <sheetName val="Caso Base (PS)"/>
      <sheetName val="Sensibilidad"/>
      <sheetName val="Ranking sensibilidad"/>
      <sheetName val="AR"/>
      <sheetName val="Implantacion"/>
      <sheetName val="ML"/>
      <sheetName val="RRHH"/>
      <sheetName val="GruposC"/>
      <sheetName val="CU"/>
      <sheetName val="PPto Actual"/>
    </sheetNames>
    <sheetDataSet>
      <sheetData sheetId="0">
        <row r="4">
          <cell r="H4">
            <v>3</v>
          </cell>
        </row>
      </sheetData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Calculos"/>
      <sheetName val="Costos"/>
      <sheetName val="Resultados"/>
      <sheetName val="Eficacia"/>
      <sheetName val="Oferta_Dda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6">
    <pageSetUpPr fitToPage="1"/>
  </sheetPr>
  <dimension ref="A1:AD121"/>
  <sheetViews>
    <sheetView zoomScale="70" zoomScaleNormal="110" zoomScaleSheetLayoutView="70" workbookViewId="0">
      <pane xSplit="2" ySplit="7" topLeftCell="C8" activePane="bottomRight" state="frozen"/>
      <selection pane="bottomRight" activeCell="C45" sqref="C45"/>
      <selection pane="bottomLeft" activeCell="A4" sqref="A4"/>
      <selection pane="topRight" activeCell="C1" sqref="C1"/>
    </sheetView>
  </sheetViews>
  <sheetFormatPr defaultColWidth="10.28515625" defaultRowHeight="14.45" outlineLevelRow="1" outlineLevelCol="1"/>
  <cols>
    <col min="1" max="1" width="34.42578125" style="235" customWidth="1"/>
    <col min="2" max="2" width="14.7109375" style="236" customWidth="1"/>
    <col min="3" max="3" width="21.28515625" style="236" customWidth="1"/>
    <col min="4" max="4" width="18.42578125" style="236" customWidth="1"/>
    <col min="5" max="5" width="35.140625" style="236" customWidth="1" outlineLevel="1"/>
    <col min="6" max="6" width="13.85546875" style="236" customWidth="1" outlineLevel="1"/>
    <col min="7" max="7" width="10.28515625" style="236" customWidth="1" outlineLevel="1"/>
    <col min="8" max="8" width="9.7109375" style="236" customWidth="1" outlineLevel="1"/>
    <col min="9" max="9" width="11.28515625" style="236" customWidth="1" outlineLevel="1"/>
    <col min="10" max="10" width="28.85546875" style="236" customWidth="1"/>
    <col min="11" max="11" width="14.7109375" style="236" customWidth="1"/>
    <col min="12" max="12" width="9" style="236" customWidth="1"/>
    <col min="13" max="13" width="9.28515625" style="236" customWidth="1"/>
    <col min="14" max="14" width="11.28515625" style="236" bestFit="1" customWidth="1"/>
    <col min="15" max="15" width="27.42578125" style="236" customWidth="1"/>
    <col min="16" max="16" width="11.140625" style="236" bestFit="1" customWidth="1"/>
    <col min="17" max="17" width="9.42578125" style="236" bestFit="1" customWidth="1"/>
    <col min="18" max="18" width="11.42578125" style="236" customWidth="1"/>
    <col min="19" max="19" width="28" style="236" customWidth="1"/>
    <col min="20" max="20" width="9.42578125" style="236" bestFit="1" customWidth="1"/>
    <col min="21" max="21" width="11.42578125" style="236" customWidth="1"/>
    <col min="22" max="22" width="10.140625" style="236" bestFit="1" customWidth="1"/>
    <col min="23" max="23" width="28" style="236" hidden="1" customWidth="1" outlineLevel="1"/>
    <col min="24" max="24" width="9.140625" style="236" hidden="1" customWidth="1" outlineLevel="1"/>
    <col min="25" max="25" width="8.140625" style="236" hidden="1" customWidth="1" outlineLevel="1"/>
    <col min="26" max="26" width="11.28515625" style="236" hidden="1" customWidth="1" outlineLevel="1"/>
    <col min="27" max="27" width="28" style="236" customWidth="1" collapsed="1"/>
    <col min="28" max="28" width="9.42578125" style="236" bestFit="1" customWidth="1"/>
    <col min="29" max="29" width="11.42578125" style="236" customWidth="1"/>
    <col min="30" max="30" width="10.140625" style="236" bestFit="1" customWidth="1"/>
    <col min="31" max="16384" width="10.28515625" style="232"/>
  </cols>
  <sheetData>
    <row r="1" spans="1:30" ht="23.25" customHeight="1" thickBot="1">
      <c r="A1" s="195" t="s">
        <v>0</v>
      </c>
      <c r="B1" s="196" t="e">
        <f>B2+B3+B4</f>
        <v>#REF!</v>
      </c>
      <c r="C1" s="196"/>
      <c r="D1" s="196">
        <f>D2+D3+D4</f>
        <v>107428020</v>
      </c>
      <c r="E1" s="195" t="s">
        <v>1</v>
      </c>
      <c r="F1" s="196">
        <f>B8</f>
        <v>24639528</v>
      </c>
      <c r="G1" s="780">
        <v>1</v>
      </c>
      <c r="H1" s="781"/>
      <c r="I1" s="781"/>
      <c r="J1" s="781"/>
      <c r="K1" s="781"/>
      <c r="L1" s="781"/>
      <c r="M1" s="781"/>
      <c r="N1" s="781"/>
      <c r="O1" s="781"/>
      <c r="P1" s="781"/>
      <c r="Q1" s="781"/>
      <c r="R1" s="781"/>
      <c r="S1" s="781"/>
      <c r="T1" s="781"/>
      <c r="U1" s="781"/>
      <c r="V1" s="781"/>
      <c r="W1" s="781"/>
      <c r="X1" s="781"/>
      <c r="Y1" s="781"/>
      <c r="Z1" s="781"/>
      <c r="AA1" s="782"/>
      <c r="AB1" s="782"/>
      <c r="AC1" s="782"/>
      <c r="AD1" s="782"/>
    </row>
    <row r="2" spans="1:30" ht="23.25" customHeight="1" thickBot="1">
      <c r="A2" s="195" t="s">
        <v>2</v>
      </c>
      <c r="B2" s="196">
        <f>B8+B37+B69</f>
        <v>30844567.199999999</v>
      </c>
      <c r="C2" s="196"/>
      <c r="D2" s="196">
        <f>D8+D37+D69</f>
        <v>97525533</v>
      </c>
      <c r="E2" s="195" t="s">
        <v>3</v>
      </c>
      <c r="F2" s="196">
        <f>B37</f>
        <v>6205039.1999999993</v>
      </c>
      <c r="G2" s="780"/>
      <c r="H2" s="781"/>
      <c r="I2" s="781"/>
      <c r="J2" s="781"/>
      <c r="K2" s="781"/>
      <c r="L2" s="781"/>
      <c r="M2" s="781"/>
      <c r="N2" s="781"/>
      <c r="O2" s="781"/>
      <c r="P2" s="781"/>
      <c r="Q2" s="781"/>
      <c r="R2" s="781"/>
      <c r="S2" s="781"/>
      <c r="T2" s="781"/>
      <c r="U2" s="781"/>
      <c r="V2" s="781"/>
      <c r="W2" s="781"/>
      <c r="X2" s="781"/>
      <c r="Y2" s="781"/>
      <c r="Z2" s="781"/>
      <c r="AA2" s="782"/>
      <c r="AB2" s="782"/>
      <c r="AC2" s="782"/>
      <c r="AD2" s="782"/>
    </row>
    <row r="3" spans="1:30" ht="23.25" customHeight="1" thickBot="1">
      <c r="A3" s="195" t="s">
        <v>4</v>
      </c>
      <c r="B3" s="196" t="e">
        <f>B95</f>
        <v>#REF!</v>
      </c>
      <c r="C3" s="196"/>
      <c r="D3" s="196">
        <f>D95</f>
        <v>9702487</v>
      </c>
      <c r="E3" s="195"/>
      <c r="F3" s="196"/>
      <c r="G3" s="780"/>
      <c r="H3" s="781"/>
      <c r="I3" s="781"/>
      <c r="J3" s="781"/>
      <c r="K3" s="781"/>
      <c r="L3" s="781"/>
      <c r="M3" s="781"/>
      <c r="N3" s="781"/>
      <c r="O3" s="781"/>
      <c r="P3" s="781"/>
      <c r="Q3" s="781"/>
      <c r="R3" s="781"/>
      <c r="S3" s="781"/>
      <c r="T3" s="781"/>
      <c r="U3" s="781"/>
      <c r="V3" s="781"/>
      <c r="W3" s="781"/>
      <c r="X3" s="781"/>
      <c r="Y3" s="781"/>
      <c r="Z3" s="781"/>
      <c r="AA3" s="782"/>
      <c r="AB3" s="782"/>
      <c r="AC3" s="782"/>
      <c r="AD3" s="782"/>
    </row>
    <row r="4" spans="1:30" ht="23.25" customHeight="1" thickBot="1">
      <c r="A4" s="259" t="s">
        <v>5</v>
      </c>
      <c r="B4" s="260">
        <v>200000</v>
      </c>
      <c r="C4" s="260"/>
      <c r="D4" s="260">
        <v>200000</v>
      </c>
      <c r="E4" s="259" t="s">
        <v>6</v>
      </c>
      <c r="F4" s="260">
        <f>SUM(F1:F3)</f>
        <v>30844567.199999999</v>
      </c>
      <c r="G4" s="783"/>
      <c r="H4" s="784"/>
      <c r="I4" s="784"/>
      <c r="J4" s="784"/>
      <c r="K4" s="784"/>
      <c r="L4" s="784"/>
      <c r="M4" s="784"/>
      <c r="N4" s="784"/>
      <c r="O4" s="784"/>
      <c r="P4" s="784"/>
      <c r="Q4" s="784"/>
      <c r="R4" s="784"/>
      <c r="S4" s="784"/>
      <c r="T4" s="784"/>
      <c r="U4" s="784"/>
      <c r="V4" s="784"/>
      <c r="W4" s="784"/>
      <c r="X4" s="784"/>
      <c r="Y4" s="784"/>
      <c r="Z4" s="784"/>
      <c r="AA4" s="785"/>
      <c r="AB4" s="785"/>
      <c r="AC4" s="785"/>
      <c r="AD4" s="785"/>
    </row>
    <row r="5" spans="1:30" ht="14.25" customHeight="1">
      <c r="A5" s="817" t="s">
        <v>7</v>
      </c>
      <c r="B5" s="818"/>
      <c r="C5" s="790" t="s">
        <v>8</v>
      </c>
      <c r="D5" s="791"/>
      <c r="E5" s="823" t="s">
        <v>9</v>
      </c>
      <c r="F5" s="824"/>
      <c r="G5" s="824"/>
      <c r="H5" s="824"/>
      <c r="I5" s="825"/>
      <c r="J5" s="828" t="s">
        <v>10</v>
      </c>
      <c r="K5" s="829"/>
      <c r="L5" s="829"/>
      <c r="M5" s="829"/>
      <c r="N5" s="829"/>
      <c r="O5" s="807" t="s">
        <v>11</v>
      </c>
      <c r="P5" s="808"/>
      <c r="Q5" s="808"/>
      <c r="R5" s="808"/>
      <c r="S5" s="807" t="s">
        <v>12</v>
      </c>
      <c r="T5" s="808"/>
      <c r="U5" s="808"/>
      <c r="V5" s="809"/>
      <c r="W5" s="797" t="s">
        <v>13</v>
      </c>
      <c r="X5" s="798"/>
      <c r="Y5" s="798"/>
      <c r="Z5" s="798"/>
      <c r="AA5" s="807" t="s">
        <v>13</v>
      </c>
      <c r="AB5" s="808"/>
      <c r="AC5" s="808"/>
      <c r="AD5" s="809"/>
    </row>
    <row r="6" spans="1:30" ht="16.149999999999999" thickBot="1">
      <c r="A6" s="819"/>
      <c r="B6" s="820"/>
      <c r="C6" s="792"/>
      <c r="D6" s="793"/>
      <c r="E6" s="826"/>
      <c r="F6" s="826"/>
      <c r="G6" s="826"/>
      <c r="H6" s="826"/>
      <c r="I6" s="827"/>
      <c r="J6" s="830"/>
      <c r="K6" s="831"/>
      <c r="L6" s="831"/>
      <c r="M6" s="831"/>
      <c r="N6" s="831"/>
      <c r="O6" s="197"/>
      <c r="P6" s="198"/>
      <c r="Q6" s="198"/>
      <c r="R6" s="198"/>
      <c r="S6" s="197"/>
      <c r="T6" s="198"/>
      <c r="U6" s="198"/>
      <c r="V6" s="478"/>
      <c r="W6" s="476"/>
      <c r="X6" s="198"/>
      <c r="Y6" s="198"/>
      <c r="Z6" s="198"/>
      <c r="AA6" s="197"/>
      <c r="AB6" s="198"/>
      <c r="AC6" s="198"/>
      <c r="AD6" s="478"/>
    </row>
    <row r="7" spans="1:30" ht="28.15" thickBot="1">
      <c r="A7" s="821"/>
      <c r="B7" s="822"/>
      <c r="C7" s="794"/>
      <c r="D7" s="795"/>
      <c r="E7" s="511" t="s">
        <v>14</v>
      </c>
      <c r="F7" s="479" t="s">
        <v>15</v>
      </c>
      <c r="G7" s="480" t="s">
        <v>16</v>
      </c>
      <c r="H7" s="480" t="s">
        <v>17</v>
      </c>
      <c r="I7" s="481" t="s">
        <v>18</v>
      </c>
      <c r="J7" s="482" t="s">
        <v>14</v>
      </c>
      <c r="K7" s="483" t="s">
        <v>19</v>
      </c>
      <c r="L7" s="483" t="s">
        <v>20</v>
      </c>
      <c r="M7" s="483" t="s">
        <v>17</v>
      </c>
      <c r="N7" s="482" t="s">
        <v>18</v>
      </c>
      <c r="O7" s="482" t="s">
        <v>14</v>
      </c>
      <c r="P7" s="483" t="s">
        <v>19</v>
      </c>
      <c r="Q7" s="482" t="s">
        <v>21</v>
      </c>
      <c r="R7" s="482" t="s">
        <v>18</v>
      </c>
      <c r="S7" s="482" t="s">
        <v>14</v>
      </c>
      <c r="T7" s="483" t="s">
        <v>19</v>
      </c>
      <c r="U7" s="482" t="s">
        <v>21</v>
      </c>
      <c r="V7" s="484" t="s">
        <v>18</v>
      </c>
      <c r="W7" s="477" t="s">
        <v>14</v>
      </c>
      <c r="X7" s="200" t="s">
        <v>19</v>
      </c>
      <c r="Y7" s="199" t="s">
        <v>22</v>
      </c>
      <c r="Z7" s="199" t="s">
        <v>18</v>
      </c>
      <c r="AA7" s="482" t="s">
        <v>14</v>
      </c>
      <c r="AB7" s="483" t="s">
        <v>23</v>
      </c>
      <c r="AC7" s="482" t="s">
        <v>21</v>
      </c>
      <c r="AD7" s="484" t="s">
        <v>18</v>
      </c>
    </row>
    <row r="8" spans="1:30" ht="27" customHeight="1">
      <c r="A8" s="485" t="s">
        <v>24</v>
      </c>
      <c r="B8" s="486">
        <f>SUM(B10:B36)</f>
        <v>24639528</v>
      </c>
      <c r="C8" s="498"/>
      <c r="D8" s="521">
        <f>SUM(D10:D36)</f>
        <v>92799240</v>
      </c>
      <c r="E8" s="786" t="s">
        <v>25</v>
      </c>
      <c r="F8" s="787"/>
      <c r="G8" s="787"/>
      <c r="H8" s="787"/>
      <c r="I8" s="787"/>
      <c r="J8" s="787"/>
      <c r="K8" s="787"/>
      <c r="L8" s="787"/>
      <c r="M8" s="787"/>
      <c r="N8" s="787"/>
      <c r="O8" s="787"/>
      <c r="P8" s="787"/>
      <c r="Q8" s="787"/>
      <c r="R8" s="787"/>
      <c r="S8" s="787"/>
      <c r="T8" s="787"/>
      <c r="U8" s="787"/>
      <c r="V8" s="787"/>
      <c r="W8" s="787"/>
      <c r="X8" s="787"/>
      <c r="Y8" s="787"/>
      <c r="Z8" s="787"/>
      <c r="AA8" s="1035"/>
      <c r="AB8" s="1035"/>
      <c r="AC8" s="1035"/>
      <c r="AD8" s="1035"/>
    </row>
    <row r="9" spans="1:30" ht="16.149999999999999" thickBot="1">
      <c r="A9" s="505"/>
      <c r="B9" s="758"/>
      <c r="C9" s="758"/>
      <c r="D9" s="758"/>
      <c r="E9" s="758"/>
      <c r="F9" s="758"/>
      <c r="G9" s="758"/>
      <c r="H9" s="758"/>
      <c r="I9" s="758"/>
      <c r="J9" s="758"/>
      <c r="K9" s="758"/>
      <c r="L9" s="758"/>
      <c r="M9" s="758"/>
      <c r="N9" s="758"/>
      <c r="O9" s="758"/>
      <c r="P9" s="758"/>
      <c r="Q9" s="758"/>
      <c r="R9" s="758"/>
      <c r="S9" s="758"/>
      <c r="T9" s="758"/>
      <c r="U9" s="758"/>
      <c r="V9" s="758"/>
      <c r="W9" s="758"/>
      <c r="X9" s="758"/>
      <c r="Y9" s="758"/>
      <c r="Z9" s="758"/>
      <c r="AA9" s="506"/>
      <c r="AB9" s="506"/>
      <c r="AC9" s="506"/>
      <c r="AD9" s="506"/>
    </row>
    <row r="10" spans="1:30" ht="55.15">
      <c r="A10" s="812" t="s">
        <v>26</v>
      </c>
      <c r="B10" s="803">
        <f>SUM(I10:I18)+SUM(N10:N18)+SUM(R10:R18)+SUM(V10:V18)+SUM(AD10:AD18)</f>
        <v>16867528</v>
      </c>
      <c r="C10" s="504" t="s">
        <v>27</v>
      </c>
      <c r="D10" s="512"/>
      <c r="E10" s="201"/>
      <c r="F10" s="202"/>
      <c r="G10" s="202"/>
      <c r="H10" s="202"/>
      <c r="I10" s="203">
        <f>F10*G10*H10</f>
        <v>0</v>
      </c>
      <c r="J10" s="237" t="s">
        <v>28</v>
      </c>
      <c r="K10" s="204">
        <f>Prices!D5</f>
        <v>20354.399999999998</v>
      </c>
      <c r="L10" s="204">
        <v>12</v>
      </c>
      <c r="M10" s="204">
        <v>10</v>
      </c>
      <c r="N10" s="205">
        <f>K10*L10*M10</f>
        <v>2442528</v>
      </c>
      <c r="O10" s="201" t="s">
        <v>29</v>
      </c>
      <c r="P10" s="202">
        <v>12000000</v>
      </c>
      <c r="Q10" s="202">
        <v>1</v>
      </c>
      <c r="R10" s="203">
        <f>P10*Q10</f>
        <v>12000000</v>
      </c>
      <c r="S10" s="366" t="s">
        <v>30</v>
      </c>
      <c r="T10" s="365">
        <v>5000</v>
      </c>
      <c r="U10" s="367">
        <v>5</v>
      </c>
      <c r="V10" s="205">
        <f t="shared" ref="V10:V24" si="0">T10*U10</f>
        <v>25000</v>
      </c>
      <c r="W10" s="207"/>
      <c r="X10" s="202"/>
      <c r="Y10" s="202"/>
      <c r="Z10" s="203">
        <f>X10*Y10</f>
        <v>0</v>
      </c>
      <c r="AA10" s="366"/>
      <c r="AB10" s="365"/>
      <c r="AC10" s="367"/>
      <c r="AD10" s="205">
        <f>AB10*AC10</f>
        <v>0</v>
      </c>
    </row>
    <row r="11" spans="1:30" ht="31.15">
      <c r="A11" s="832"/>
      <c r="B11" s="804"/>
      <c r="C11" s="754" t="s">
        <v>31</v>
      </c>
      <c r="D11" s="508">
        <v>2028093</v>
      </c>
      <c r="E11" s="208"/>
      <c r="F11" s="209"/>
      <c r="G11" s="209"/>
      <c r="H11" s="209"/>
      <c r="I11" s="210">
        <f t="shared" ref="I11:I24" si="1">F11*G11*H11</f>
        <v>0</v>
      </c>
      <c r="J11" s="238"/>
      <c r="K11" s="211"/>
      <c r="L11" s="211"/>
      <c r="M11" s="211"/>
      <c r="N11" s="212">
        <f t="shared" ref="N11:N24" si="2">K11*L11*M11</f>
        <v>0</v>
      </c>
      <c r="O11" s="208" t="s">
        <v>32</v>
      </c>
      <c r="P11" s="209">
        <v>1000000</v>
      </c>
      <c r="Q11" s="209">
        <v>1</v>
      </c>
      <c r="R11" s="210">
        <f t="shared" ref="R11:R24" si="3">P11*Q11</f>
        <v>1000000</v>
      </c>
      <c r="S11" s="215" t="s">
        <v>33</v>
      </c>
      <c r="T11" s="211">
        <v>2000</v>
      </c>
      <c r="U11" s="240">
        <v>700</v>
      </c>
      <c r="V11" s="212">
        <f t="shared" si="0"/>
        <v>1400000</v>
      </c>
      <c r="W11" s="213"/>
      <c r="X11" s="209"/>
      <c r="Y11" s="209"/>
      <c r="Z11" s="210">
        <f t="shared" ref="Z11:Z24" si="4">X11*Y11</f>
        <v>0</v>
      </c>
      <c r="AA11" s="215"/>
      <c r="AB11" s="211"/>
      <c r="AC11" s="240"/>
      <c r="AD11" s="212">
        <f>AB11*AC11</f>
        <v>0</v>
      </c>
    </row>
    <row r="12" spans="1:30" ht="15.6">
      <c r="A12" s="832"/>
      <c r="B12" s="804"/>
      <c r="C12" s="754" t="s">
        <v>34</v>
      </c>
      <c r="D12" s="508">
        <v>3794011</v>
      </c>
      <c r="E12" s="208"/>
      <c r="F12" s="209"/>
      <c r="G12" s="209"/>
      <c r="H12" s="209"/>
      <c r="I12" s="210">
        <f t="shared" si="1"/>
        <v>0</v>
      </c>
      <c r="J12" s="238"/>
      <c r="K12" s="211"/>
      <c r="L12" s="214"/>
      <c r="M12" s="211"/>
      <c r="N12" s="212">
        <f t="shared" si="2"/>
        <v>0</v>
      </c>
      <c r="O12" s="208"/>
      <c r="P12" s="209"/>
      <c r="Q12" s="209"/>
      <c r="R12" s="210">
        <f t="shared" si="3"/>
        <v>0</v>
      </c>
      <c r="S12" s="243"/>
      <c r="T12" s="244"/>
      <c r="U12" s="245"/>
      <c r="V12" s="212">
        <f t="shared" si="0"/>
        <v>0</v>
      </c>
      <c r="W12" s="213"/>
      <c r="X12" s="209"/>
      <c r="Y12" s="209"/>
      <c r="Z12" s="210">
        <f t="shared" si="4"/>
        <v>0</v>
      </c>
      <c r="AA12" s="243"/>
      <c r="AB12" s="244"/>
      <c r="AC12" s="245"/>
      <c r="AD12" s="212">
        <f>AB12*AC12</f>
        <v>0</v>
      </c>
    </row>
    <row r="13" spans="1:30" ht="15.6" outlineLevel="1">
      <c r="A13" s="832"/>
      <c r="B13" s="804"/>
      <c r="C13" s="754" t="s">
        <v>35</v>
      </c>
      <c r="D13" s="508">
        <v>1133929</v>
      </c>
      <c r="E13" s="208"/>
      <c r="F13" s="209"/>
      <c r="G13" s="209"/>
      <c r="H13" s="209"/>
      <c r="I13" s="210">
        <f t="shared" si="1"/>
        <v>0</v>
      </c>
      <c r="J13" s="238"/>
      <c r="K13" s="211"/>
      <c r="L13" s="214"/>
      <c r="M13" s="211"/>
      <c r="N13" s="212"/>
      <c r="O13" s="208"/>
      <c r="P13" s="209"/>
      <c r="Q13" s="209"/>
      <c r="R13" s="210">
        <f t="shared" si="3"/>
        <v>0</v>
      </c>
      <c r="S13" s="215"/>
      <c r="T13" s="211"/>
      <c r="U13" s="211"/>
      <c r="V13" s="212"/>
      <c r="W13" s="213"/>
      <c r="X13" s="209"/>
      <c r="Y13" s="209"/>
      <c r="Z13" s="210">
        <f t="shared" si="4"/>
        <v>0</v>
      </c>
      <c r="AA13" s="215"/>
      <c r="AB13" s="211"/>
      <c r="AC13" s="211"/>
      <c r="AD13" s="212"/>
    </row>
    <row r="14" spans="1:30" ht="15.6" outlineLevel="1">
      <c r="A14" s="833"/>
      <c r="B14" s="805"/>
      <c r="C14" s="755" t="s">
        <v>36</v>
      </c>
      <c r="D14" s="509">
        <v>8938139</v>
      </c>
      <c r="E14" s="216"/>
      <c r="F14" s="217"/>
      <c r="G14" s="217"/>
      <c r="H14" s="217"/>
      <c r="I14" s="218"/>
      <c r="J14" s="473"/>
      <c r="K14" s="220"/>
      <c r="L14" s="474"/>
      <c r="M14" s="220"/>
      <c r="N14" s="221"/>
      <c r="O14" s="216"/>
      <c r="P14" s="217"/>
      <c r="Q14" s="217"/>
      <c r="R14" s="218"/>
      <c r="S14" s="219"/>
      <c r="T14" s="220"/>
      <c r="U14" s="220"/>
      <c r="V14" s="221"/>
      <c r="W14" s="222"/>
      <c r="X14" s="217"/>
      <c r="Y14" s="217"/>
      <c r="Z14" s="218"/>
      <c r="AA14" s="219"/>
      <c r="AB14" s="220"/>
      <c r="AC14" s="220"/>
      <c r="AD14" s="221"/>
    </row>
    <row r="15" spans="1:30" ht="31.15" outlineLevel="1">
      <c r="A15" s="833"/>
      <c r="B15" s="805"/>
      <c r="C15" s="755" t="s">
        <v>37</v>
      </c>
      <c r="D15" s="509">
        <v>1767139</v>
      </c>
      <c r="E15" s="216"/>
      <c r="F15" s="217"/>
      <c r="G15" s="217"/>
      <c r="H15" s="217"/>
      <c r="I15" s="218"/>
      <c r="J15" s="473"/>
      <c r="K15" s="220"/>
      <c r="L15" s="474"/>
      <c r="M15" s="220"/>
      <c r="N15" s="221"/>
      <c r="O15" s="216"/>
      <c r="P15" s="217"/>
      <c r="Q15" s="217"/>
      <c r="R15" s="218"/>
      <c r="S15" s="219"/>
      <c r="T15" s="220"/>
      <c r="U15" s="220"/>
      <c r="V15" s="221"/>
      <c r="W15" s="222"/>
      <c r="X15" s="217"/>
      <c r="Y15" s="217"/>
      <c r="Z15" s="218"/>
      <c r="AA15" s="219"/>
      <c r="AB15" s="220"/>
      <c r="AC15" s="220"/>
      <c r="AD15" s="221"/>
    </row>
    <row r="16" spans="1:30" ht="16.149999999999999" outlineLevel="1" thickBot="1">
      <c r="A16" s="833"/>
      <c r="B16" s="805"/>
      <c r="C16" s="755" t="s">
        <v>38</v>
      </c>
      <c r="D16" s="509">
        <v>4064285</v>
      </c>
      <c r="E16" s="216"/>
      <c r="F16" s="217"/>
      <c r="G16" s="217"/>
      <c r="H16" s="217"/>
      <c r="I16" s="218"/>
      <c r="J16" s="473"/>
      <c r="K16" s="220"/>
      <c r="L16" s="474"/>
      <c r="M16" s="220"/>
      <c r="N16" s="221"/>
      <c r="O16" s="216"/>
      <c r="P16" s="217"/>
      <c r="Q16" s="217"/>
      <c r="R16" s="218"/>
      <c r="S16" s="219"/>
      <c r="T16" s="220"/>
      <c r="U16" s="220"/>
      <c r="V16" s="221"/>
      <c r="W16" s="222"/>
      <c r="X16" s="217"/>
      <c r="Y16" s="217"/>
      <c r="Z16" s="218"/>
      <c r="AA16" s="219"/>
      <c r="AB16" s="220"/>
      <c r="AC16" s="220"/>
      <c r="AD16" s="221"/>
    </row>
    <row r="17" spans="1:30" ht="31.15" outlineLevel="1">
      <c r="A17" s="833"/>
      <c r="B17" s="805"/>
      <c r="C17" s="755" t="s">
        <v>39</v>
      </c>
      <c r="D17" s="513">
        <f>6784338-2789328</f>
        <v>3995010</v>
      </c>
      <c r="E17" s="216"/>
      <c r="F17" s="217"/>
      <c r="G17" s="217"/>
      <c r="H17" s="217"/>
      <c r="I17" s="218"/>
      <c r="J17" s="473"/>
      <c r="K17" s="220"/>
      <c r="L17" s="474"/>
      <c r="M17" s="220"/>
      <c r="N17" s="221"/>
      <c r="O17" s="216"/>
      <c r="P17" s="217"/>
      <c r="Q17" s="217"/>
      <c r="R17" s="218"/>
      <c r="S17" s="219"/>
      <c r="T17" s="220"/>
      <c r="U17" s="220"/>
      <c r="V17" s="221"/>
      <c r="W17" s="222"/>
      <c r="X17" s="217"/>
      <c r="Y17" s="217"/>
      <c r="Z17" s="218"/>
      <c r="AA17" s="219"/>
      <c r="AB17" s="220"/>
      <c r="AC17" s="220"/>
      <c r="AD17" s="221"/>
    </row>
    <row r="18" spans="1:30" ht="31.9" outlineLevel="1" thickBot="1">
      <c r="A18" s="834"/>
      <c r="B18" s="806"/>
      <c r="C18" s="755" t="s">
        <v>40</v>
      </c>
      <c r="D18" s="509">
        <v>58602</v>
      </c>
      <c r="E18" s="216"/>
      <c r="F18" s="217"/>
      <c r="G18" s="217"/>
      <c r="H18" s="217"/>
      <c r="I18" s="218">
        <f t="shared" si="1"/>
        <v>0</v>
      </c>
      <c r="J18" s="219"/>
      <c r="K18" s="220"/>
      <c r="L18" s="220"/>
      <c r="M18" s="220"/>
      <c r="N18" s="221">
        <f t="shared" si="2"/>
        <v>0</v>
      </c>
      <c r="O18" s="216"/>
      <c r="P18" s="217"/>
      <c r="Q18" s="217"/>
      <c r="R18" s="218">
        <f t="shared" si="3"/>
        <v>0</v>
      </c>
      <c r="S18" s="219"/>
      <c r="T18" s="220"/>
      <c r="U18" s="220"/>
      <c r="V18" s="221">
        <f t="shared" si="0"/>
        <v>0</v>
      </c>
      <c r="W18" s="222"/>
      <c r="X18" s="217"/>
      <c r="Y18" s="217"/>
      <c r="Z18" s="218">
        <f t="shared" si="4"/>
        <v>0</v>
      </c>
      <c r="AA18" s="219"/>
      <c r="AB18" s="220"/>
      <c r="AC18" s="220"/>
      <c r="AD18" s="221">
        <f>AB18*AC18</f>
        <v>0</v>
      </c>
    </row>
    <row r="19" spans="1:30" ht="41.45">
      <c r="A19" s="812" t="s">
        <v>41</v>
      </c>
      <c r="B19" s="803">
        <f>SUM(I19:I24)+SUM(N19:N24)+SUM(R19:R24)+SUM(V19:V24)+SUM(AD19:AD24)</f>
        <v>7270000</v>
      </c>
      <c r="C19" s="502" t="s">
        <v>42</v>
      </c>
      <c r="D19" s="753">
        <v>67020032</v>
      </c>
      <c r="E19" s="201"/>
      <c r="F19" s="202"/>
      <c r="G19" s="202"/>
      <c r="H19" s="202"/>
      <c r="I19" s="203">
        <f t="shared" si="1"/>
        <v>0</v>
      </c>
      <c r="J19" s="206"/>
      <c r="K19" s="204"/>
      <c r="L19" s="239"/>
      <c r="M19" s="239"/>
      <c r="N19" s="205">
        <f t="shared" si="2"/>
        <v>0</v>
      </c>
      <c r="O19" s="201" t="s">
        <v>43</v>
      </c>
      <c r="P19" s="202">
        <v>5000000</v>
      </c>
      <c r="Q19" s="202">
        <v>1</v>
      </c>
      <c r="R19" s="203">
        <f t="shared" si="3"/>
        <v>5000000</v>
      </c>
      <c r="S19" s="206"/>
      <c r="T19" s="204"/>
      <c r="U19" s="204"/>
      <c r="V19" s="205">
        <f t="shared" si="0"/>
        <v>0</v>
      </c>
      <c r="W19" s="207"/>
      <c r="X19" s="202"/>
      <c r="Y19" s="202"/>
      <c r="Z19" s="203">
        <f t="shared" si="4"/>
        <v>0</v>
      </c>
      <c r="AA19" s="206"/>
      <c r="AB19" s="204"/>
      <c r="AC19" s="204"/>
      <c r="AD19" s="205">
        <f>AB19*AC19</f>
        <v>0</v>
      </c>
    </row>
    <row r="20" spans="1:30" ht="27.6" outlineLevel="1">
      <c r="A20" s="813"/>
      <c r="B20" s="804"/>
      <c r="C20" s="754"/>
      <c r="D20" s="754"/>
      <c r="E20" s="208"/>
      <c r="F20" s="209"/>
      <c r="G20" s="209"/>
      <c r="H20" s="209"/>
      <c r="I20" s="210">
        <f t="shared" si="1"/>
        <v>0</v>
      </c>
      <c r="J20" s="215"/>
      <c r="K20" s="211"/>
      <c r="L20" s="211"/>
      <c r="M20" s="211"/>
      <c r="N20" s="212"/>
      <c r="O20" s="208" t="s">
        <v>44</v>
      </c>
      <c r="P20" s="209">
        <v>1000000</v>
      </c>
      <c r="Q20" s="209">
        <v>1</v>
      </c>
      <c r="R20" s="210">
        <f t="shared" si="3"/>
        <v>1000000</v>
      </c>
      <c r="S20" s="215"/>
      <c r="T20" s="211"/>
      <c r="U20" s="211"/>
      <c r="V20" s="212"/>
      <c r="W20" s="213"/>
      <c r="X20" s="209"/>
      <c r="Y20" s="209"/>
      <c r="Z20" s="210">
        <f t="shared" si="4"/>
        <v>0</v>
      </c>
      <c r="AA20" s="215"/>
      <c r="AB20" s="211"/>
      <c r="AC20" s="211"/>
      <c r="AD20" s="212"/>
    </row>
    <row r="21" spans="1:30" ht="15" customHeight="1" outlineLevel="1">
      <c r="A21" s="813"/>
      <c r="B21" s="804"/>
      <c r="C21" s="754"/>
      <c r="D21" s="754"/>
      <c r="E21" s="208"/>
      <c r="F21" s="209"/>
      <c r="G21" s="209"/>
      <c r="H21" s="209"/>
      <c r="I21" s="210">
        <f t="shared" si="1"/>
        <v>0</v>
      </c>
      <c r="J21" s="215"/>
      <c r="K21" s="211"/>
      <c r="L21" s="211"/>
      <c r="M21" s="211"/>
      <c r="N21" s="212">
        <f t="shared" si="2"/>
        <v>0</v>
      </c>
      <c r="O21" s="208" t="s">
        <v>38</v>
      </c>
      <c r="P21" s="209">
        <v>1270000</v>
      </c>
      <c r="Q21" s="209">
        <v>1</v>
      </c>
      <c r="R21" s="210">
        <f t="shared" si="3"/>
        <v>1270000</v>
      </c>
      <c r="S21" s="215"/>
      <c r="T21" s="211"/>
      <c r="U21" s="211"/>
      <c r="V21" s="212">
        <f t="shared" si="0"/>
        <v>0</v>
      </c>
      <c r="W21" s="213"/>
      <c r="X21" s="209"/>
      <c r="Y21" s="209"/>
      <c r="Z21" s="210">
        <f t="shared" si="4"/>
        <v>0</v>
      </c>
      <c r="AA21" s="215"/>
      <c r="AB21" s="211"/>
      <c r="AC21" s="211"/>
      <c r="AD21" s="212">
        <f>AB21*AC21</f>
        <v>0</v>
      </c>
    </row>
    <row r="22" spans="1:30" ht="15" customHeight="1" outlineLevel="1">
      <c r="A22" s="813"/>
      <c r="B22" s="804"/>
      <c r="C22" s="754"/>
      <c r="D22" s="754"/>
      <c r="E22" s="208"/>
      <c r="F22" s="209"/>
      <c r="G22" s="209"/>
      <c r="H22" s="209"/>
      <c r="I22" s="210">
        <f t="shared" si="1"/>
        <v>0</v>
      </c>
      <c r="J22" s="215"/>
      <c r="K22" s="211"/>
      <c r="L22" s="211"/>
      <c r="M22" s="211"/>
      <c r="N22" s="212">
        <f t="shared" si="2"/>
        <v>0</v>
      </c>
      <c r="O22" s="208"/>
      <c r="P22" s="209"/>
      <c r="Q22" s="209"/>
      <c r="R22" s="210">
        <f t="shared" si="3"/>
        <v>0</v>
      </c>
      <c r="S22" s="215"/>
      <c r="T22" s="211"/>
      <c r="U22" s="211"/>
      <c r="V22" s="212">
        <f t="shared" si="0"/>
        <v>0</v>
      </c>
      <c r="W22" s="213"/>
      <c r="X22" s="209"/>
      <c r="Y22" s="209"/>
      <c r="Z22" s="210">
        <f t="shared" si="4"/>
        <v>0</v>
      </c>
      <c r="AA22" s="215"/>
      <c r="AB22" s="211"/>
      <c r="AC22" s="211"/>
      <c r="AD22" s="212">
        <f>AB22*AC22</f>
        <v>0</v>
      </c>
    </row>
    <row r="23" spans="1:30" ht="15" customHeight="1" outlineLevel="1">
      <c r="A23" s="835"/>
      <c r="B23" s="805"/>
      <c r="C23" s="755"/>
      <c r="D23" s="755"/>
      <c r="E23" s="216"/>
      <c r="F23" s="217"/>
      <c r="G23" s="217"/>
      <c r="H23" s="217"/>
      <c r="I23" s="218"/>
      <c r="J23" s="219"/>
      <c r="K23" s="220"/>
      <c r="L23" s="220"/>
      <c r="M23" s="220"/>
      <c r="N23" s="221"/>
      <c r="O23" s="216"/>
      <c r="P23" s="217"/>
      <c r="Q23" s="217"/>
      <c r="R23" s="218"/>
      <c r="S23" s="219"/>
      <c r="T23" s="220"/>
      <c r="U23" s="220"/>
      <c r="V23" s="221"/>
      <c r="W23" s="222"/>
      <c r="X23" s="217"/>
      <c r="Y23" s="217"/>
      <c r="Z23" s="218"/>
      <c r="AA23" s="219"/>
      <c r="AB23" s="220"/>
      <c r="AC23" s="220"/>
      <c r="AD23" s="221"/>
    </row>
    <row r="24" spans="1:30" ht="15.75" customHeight="1" outlineLevel="1" thickBot="1">
      <c r="A24" s="814"/>
      <c r="B24" s="806"/>
      <c r="C24" s="755"/>
      <c r="D24" s="755"/>
      <c r="E24" s="216"/>
      <c r="F24" s="217"/>
      <c r="G24" s="217"/>
      <c r="H24" s="217"/>
      <c r="I24" s="218">
        <f t="shared" si="1"/>
        <v>0</v>
      </c>
      <c r="J24" s="219"/>
      <c r="K24" s="220"/>
      <c r="L24" s="220"/>
      <c r="M24" s="220"/>
      <c r="N24" s="221">
        <f t="shared" si="2"/>
        <v>0</v>
      </c>
      <c r="O24" s="216"/>
      <c r="P24" s="217"/>
      <c r="Q24" s="217"/>
      <c r="R24" s="218">
        <f t="shared" si="3"/>
        <v>0</v>
      </c>
      <c r="S24" s="219"/>
      <c r="T24" s="220"/>
      <c r="U24" s="220"/>
      <c r="V24" s="221">
        <f t="shared" si="0"/>
        <v>0</v>
      </c>
      <c r="W24" s="222"/>
      <c r="X24" s="217"/>
      <c r="Y24" s="217"/>
      <c r="Z24" s="218">
        <f t="shared" si="4"/>
        <v>0</v>
      </c>
      <c r="AA24" s="219"/>
      <c r="AB24" s="220"/>
      <c r="AC24" s="220"/>
      <c r="AD24" s="221">
        <f>AB24*AC24</f>
        <v>0</v>
      </c>
    </row>
    <row r="25" spans="1:30" ht="27.6">
      <c r="A25" s="812" t="s">
        <v>45</v>
      </c>
      <c r="B25" s="803">
        <f>SUM(I25:I30)+SUM(N25:N30)+SUM(R25:R30)+SUM(V25:V30)+SUM(AD25:AD30)</f>
        <v>147000</v>
      </c>
      <c r="C25" s="502" t="s">
        <v>39</v>
      </c>
      <c r="D25" s="753"/>
      <c r="E25" s="201" t="s">
        <v>46</v>
      </c>
      <c r="F25" s="202">
        <f>Prices!D2</f>
        <v>16500</v>
      </c>
      <c r="G25" s="202">
        <v>4</v>
      </c>
      <c r="H25" s="202">
        <v>2</v>
      </c>
      <c r="I25" s="203">
        <f t="shared" ref="I25:I36" si="5">F25*G25*H25</f>
        <v>132000</v>
      </c>
      <c r="J25" s="206"/>
      <c r="K25" s="204"/>
      <c r="L25" s="239"/>
      <c r="M25" s="239"/>
      <c r="N25" s="205">
        <f>K25*L25*M25</f>
        <v>0</v>
      </c>
      <c r="O25" s="201"/>
      <c r="P25" s="202"/>
      <c r="Q25" s="202"/>
      <c r="R25" s="203">
        <f t="shared" ref="R25:R36" si="6">P25*Q25</f>
        <v>0</v>
      </c>
      <c r="S25" s="206" t="s">
        <v>47</v>
      </c>
      <c r="T25" s="204">
        <v>5000</v>
      </c>
      <c r="U25" s="204">
        <v>3</v>
      </c>
      <c r="V25" s="205">
        <f>T25*U25</f>
        <v>15000</v>
      </c>
      <c r="W25" s="207"/>
      <c r="X25" s="202"/>
      <c r="Y25" s="202"/>
      <c r="Z25" s="203">
        <f t="shared" ref="Z25:Z36" si="7">X25*Y25</f>
        <v>0</v>
      </c>
      <c r="AA25" s="206"/>
      <c r="AB25" s="204"/>
      <c r="AC25" s="204"/>
      <c r="AD25" s="205">
        <f>AB25*AC25</f>
        <v>0</v>
      </c>
    </row>
    <row r="26" spans="1:30" ht="15" customHeight="1" outlineLevel="1">
      <c r="A26" s="813"/>
      <c r="B26" s="804"/>
      <c r="C26" s="754"/>
      <c r="D26" s="754"/>
      <c r="E26" s="208"/>
      <c r="F26" s="209"/>
      <c r="G26" s="209"/>
      <c r="H26" s="209"/>
      <c r="I26" s="210">
        <f t="shared" si="5"/>
        <v>0</v>
      </c>
      <c r="J26" s="215"/>
      <c r="K26" s="211"/>
      <c r="L26" s="211"/>
      <c r="M26" s="211"/>
      <c r="N26" s="212"/>
      <c r="O26" s="208"/>
      <c r="P26" s="209"/>
      <c r="Q26" s="209"/>
      <c r="R26" s="210">
        <f t="shared" si="6"/>
        <v>0</v>
      </c>
      <c r="S26" s="215"/>
      <c r="T26" s="211"/>
      <c r="U26" s="211"/>
      <c r="V26" s="212"/>
      <c r="W26" s="213"/>
      <c r="X26" s="209"/>
      <c r="Y26" s="209"/>
      <c r="Z26" s="210">
        <f t="shared" si="7"/>
        <v>0</v>
      </c>
      <c r="AA26" s="215"/>
      <c r="AB26" s="211"/>
      <c r="AC26" s="211"/>
      <c r="AD26" s="212"/>
    </row>
    <row r="27" spans="1:30" ht="15" customHeight="1" outlineLevel="1">
      <c r="A27" s="813"/>
      <c r="B27" s="804"/>
      <c r="C27" s="754"/>
      <c r="D27" s="754"/>
      <c r="E27" s="208"/>
      <c r="F27" s="209"/>
      <c r="G27" s="209"/>
      <c r="H27" s="209"/>
      <c r="I27" s="210">
        <f t="shared" si="5"/>
        <v>0</v>
      </c>
      <c r="J27" s="215"/>
      <c r="K27" s="211"/>
      <c r="L27" s="211"/>
      <c r="M27" s="211"/>
      <c r="N27" s="212">
        <f>K27*L27*M27</f>
        <v>0</v>
      </c>
      <c r="O27" s="208"/>
      <c r="P27" s="209"/>
      <c r="Q27" s="209"/>
      <c r="R27" s="210">
        <f t="shared" si="6"/>
        <v>0</v>
      </c>
      <c r="S27" s="215"/>
      <c r="T27" s="211"/>
      <c r="U27" s="211"/>
      <c r="V27" s="212">
        <f>T27*U27</f>
        <v>0</v>
      </c>
      <c r="W27" s="213"/>
      <c r="X27" s="209"/>
      <c r="Y27" s="209"/>
      <c r="Z27" s="210">
        <f t="shared" si="7"/>
        <v>0</v>
      </c>
      <c r="AA27" s="215"/>
      <c r="AB27" s="211"/>
      <c r="AC27" s="211"/>
      <c r="AD27" s="212">
        <f>AB27*AC27</f>
        <v>0</v>
      </c>
    </row>
    <row r="28" spans="1:30" ht="15" customHeight="1" outlineLevel="1">
      <c r="A28" s="813"/>
      <c r="B28" s="804"/>
      <c r="C28" s="754"/>
      <c r="D28" s="754"/>
      <c r="E28" s="208"/>
      <c r="F28" s="209"/>
      <c r="G28" s="209"/>
      <c r="H28" s="209"/>
      <c r="I28" s="210"/>
      <c r="J28" s="215"/>
      <c r="K28" s="211"/>
      <c r="L28" s="211"/>
      <c r="M28" s="211"/>
      <c r="N28" s="212"/>
      <c r="O28" s="208"/>
      <c r="P28" s="209"/>
      <c r="Q28" s="209"/>
      <c r="R28" s="210"/>
      <c r="S28" s="215"/>
      <c r="T28" s="211"/>
      <c r="U28" s="211"/>
      <c r="V28" s="212"/>
      <c r="W28" s="213"/>
      <c r="X28" s="209"/>
      <c r="Y28" s="209"/>
      <c r="Z28" s="210"/>
      <c r="AA28" s="215"/>
      <c r="AB28" s="211"/>
      <c r="AC28" s="211"/>
      <c r="AD28" s="212"/>
    </row>
    <row r="29" spans="1:30" ht="15" customHeight="1" outlineLevel="1">
      <c r="A29" s="813"/>
      <c r="B29" s="805"/>
      <c r="C29" s="755"/>
      <c r="D29" s="755"/>
      <c r="E29" s="208"/>
      <c r="F29" s="209"/>
      <c r="G29" s="209"/>
      <c r="H29" s="209"/>
      <c r="I29" s="210">
        <f t="shared" si="5"/>
        <v>0</v>
      </c>
      <c r="J29" s="215"/>
      <c r="K29" s="211"/>
      <c r="L29" s="211"/>
      <c r="M29" s="211"/>
      <c r="N29" s="212">
        <f>K29*L29*M29</f>
        <v>0</v>
      </c>
      <c r="O29" s="208"/>
      <c r="P29" s="209"/>
      <c r="Q29" s="209"/>
      <c r="R29" s="210">
        <f t="shared" si="6"/>
        <v>0</v>
      </c>
      <c r="S29" s="215"/>
      <c r="T29" s="211"/>
      <c r="U29" s="211"/>
      <c r="V29" s="212">
        <f>T29*U29</f>
        <v>0</v>
      </c>
      <c r="W29" s="213"/>
      <c r="X29" s="209"/>
      <c r="Y29" s="209"/>
      <c r="Z29" s="210">
        <f t="shared" si="7"/>
        <v>0</v>
      </c>
      <c r="AA29" s="215"/>
      <c r="AB29" s="211"/>
      <c r="AC29" s="211"/>
      <c r="AD29" s="212">
        <f>AB29*AC29</f>
        <v>0</v>
      </c>
    </row>
    <row r="30" spans="1:30" ht="15.75" customHeight="1" outlineLevel="1" thickBot="1">
      <c r="A30" s="814"/>
      <c r="B30" s="806"/>
      <c r="C30" s="755"/>
      <c r="D30" s="755"/>
      <c r="E30" s="216"/>
      <c r="F30" s="217"/>
      <c r="G30" s="217"/>
      <c r="H30" s="217"/>
      <c r="I30" s="218">
        <f t="shared" si="5"/>
        <v>0</v>
      </c>
      <c r="J30" s="219"/>
      <c r="K30" s="220"/>
      <c r="L30" s="220"/>
      <c r="M30" s="220"/>
      <c r="N30" s="221">
        <f>K30*L30*M30</f>
        <v>0</v>
      </c>
      <c r="O30" s="216"/>
      <c r="P30" s="217"/>
      <c r="Q30" s="217"/>
      <c r="R30" s="218">
        <f t="shared" si="6"/>
        <v>0</v>
      </c>
      <c r="S30" s="219"/>
      <c r="T30" s="220"/>
      <c r="U30" s="220"/>
      <c r="V30" s="221">
        <f>T30*U30</f>
        <v>0</v>
      </c>
      <c r="W30" s="222"/>
      <c r="X30" s="217"/>
      <c r="Y30" s="217"/>
      <c r="Z30" s="218">
        <f t="shared" si="7"/>
        <v>0</v>
      </c>
      <c r="AA30" s="219"/>
      <c r="AB30" s="220"/>
      <c r="AC30" s="220"/>
      <c r="AD30" s="221">
        <f>AB30*AC30</f>
        <v>0</v>
      </c>
    </row>
    <row r="31" spans="1:30" ht="27.6">
      <c r="A31" s="812" t="s">
        <v>48</v>
      </c>
      <c r="B31" s="803">
        <f>SUM(I31:I36)+SUM(N31:N36)+SUM(R31:R36)+SUM(V31:V36)+SUM(AD31:AD36)</f>
        <v>355000</v>
      </c>
      <c r="C31" s="502" t="s">
        <v>39</v>
      </c>
      <c r="D31" s="753"/>
      <c r="E31" s="201" t="s">
        <v>49</v>
      </c>
      <c r="F31" s="202">
        <f>Prices!D2</f>
        <v>16500</v>
      </c>
      <c r="G31" s="202">
        <v>4</v>
      </c>
      <c r="H31" s="202">
        <v>5</v>
      </c>
      <c r="I31" s="203">
        <f t="shared" si="5"/>
        <v>330000</v>
      </c>
      <c r="J31" s="206"/>
      <c r="K31" s="204"/>
      <c r="L31" s="239"/>
      <c r="M31" s="239"/>
      <c r="N31" s="205">
        <f>K31*L31*M31</f>
        <v>0</v>
      </c>
      <c r="O31" s="201"/>
      <c r="P31" s="202"/>
      <c r="Q31" s="202"/>
      <c r="R31" s="203">
        <f t="shared" si="6"/>
        <v>0</v>
      </c>
      <c r="S31" s="206" t="s">
        <v>50</v>
      </c>
      <c r="T31" s="204">
        <v>5000</v>
      </c>
      <c r="U31" s="204">
        <v>5</v>
      </c>
      <c r="V31" s="205">
        <f>T31*U31</f>
        <v>25000</v>
      </c>
      <c r="W31" s="207"/>
      <c r="X31" s="202"/>
      <c r="Y31" s="202"/>
      <c r="Z31" s="203">
        <f t="shared" si="7"/>
        <v>0</v>
      </c>
      <c r="AA31" s="206"/>
      <c r="AB31" s="204"/>
      <c r="AC31" s="204"/>
      <c r="AD31" s="205">
        <f>AB31*AC31</f>
        <v>0</v>
      </c>
    </row>
    <row r="32" spans="1:30" ht="15" customHeight="1" outlineLevel="1">
      <c r="A32" s="813"/>
      <c r="B32" s="804"/>
      <c r="C32" s="754"/>
      <c r="D32" s="754"/>
      <c r="E32" s="208"/>
      <c r="F32" s="209"/>
      <c r="G32" s="209"/>
      <c r="H32" s="209"/>
      <c r="I32" s="210">
        <f t="shared" si="5"/>
        <v>0</v>
      </c>
      <c r="J32" s="215"/>
      <c r="K32" s="211"/>
      <c r="L32" s="211"/>
      <c r="M32" s="211"/>
      <c r="N32" s="212"/>
      <c r="O32" s="208"/>
      <c r="P32" s="209"/>
      <c r="Q32" s="209"/>
      <c r="R32" s="210">
        <f t="shared" si="6"/>
        <v>0</v>
      </c>
      <c r="S32" s="215"/>
      <c r="T32" s="211"/>
      <c r="U32" s="211"/>
      <c r="V32" s="212"/>
      <c r="W32" s="213"/>
      <c r="X32" s="209"/>
      <c r="Y32" s="209"/>
      <c r="Z32" s="210">
        <f t="shared" si="7"/>
        <v>0</v>
      </c>
      <c r="AA32" s="215"/>
      <c r="AB32" s="211"/>
      <c r="AC32" s="211"/>
      <c r="AD32" s="212"/>
    </row>
    <row r="33" spans="1:30" ht="15" customHeight="1" outlineLevel="1">
      <c r="A33" s="813"/>
      <c r="B33" s="804"/>
      <c r="C33" s="754"/>
      <c r="D33" s="754"/>
      <c r="E33" s="208"/>
      <c r="F33" s="209"/>
      <c r="G33" s="209"/>
      <c r="H33" s="209"/>
      <c r="I33" s="210">
        <f t="shared" si="5"/>
        <v>0</v>
      </c>
      <c r="J33" s="215"/>
      <c r="K33" s="211"/>
      <c r="L33" s="211"/>
      <c r="M33" s="211"/>
      <c r="N33" s="212">
        <f>K33*L33*M33</f>
        <v>0</v>
      </c>
      <c r="O33" s="208"/>
      <c r="P33" s="209"/>
      <c r="Q33" s="209"/>
      <c r="R33" s="210">
        <f t="shared" si="6"/>
        <v>0</v>
      </c>
      <c r="S33" s="215"/>
      <c r="T33" s="211"/>
      <c r="U33" s="211"/>
      <c r="V33" s="212">
        <f>T33*U33</f>
        <v>0</v>
      </c>
      <c r="W33" s="213"/>
      <c r="X33" s="209"/>
      <c r="Y33" s="209"/>
      <c r="Z33" s="210">
        <f t="shared" si="7"/>
        <v>0</v>
      </c>
      <c r="AA33" s="215"/>
      <c r="AB33" s="211"/>
      <c r="AC33" s="211"/>
      <c r="AD33" s="212">
        <f>AB33*AC33</f>
        <v>0</v>
      </c>
    </row>
    <row r="34" spans="1:30" ht="15" customHeight="1" outlineLevel="1">
      <c r="A34" s="813"/>
      <c r="B34" s="804"/>
      <c r="C34" s="754"/>
      <c r="D34" s="754"/>
      <c r="E34" s="208"/>
      <c r="F34" s="209"/>
      <c r="G34" s="209"/>
      <c r="H34" s="209"/>
      <c r="I34" s="210"/>
      <c r="J34" s="215"/>
      <c r="K34" s="211"/>
      <c r="L34" s="211"/>
      <c r="M34" s="211"/>
      <c r="N34" s="212"/>
      <c r="O34" s="208"/>
      <c r="P34" s="209"/>
      <c r="Q34" s="209"/>
      <c r="R34" s="210"/>
      <c r="S34" s="215"/>
      <c r="T34" s="211"/>
      <c r="U34" s="211"/>
      <c r="V34" s="212"/>
      <c r="W34" s="213"/>
      <c r="X34" s="209"/>
      <c r="Y34" s="209"/>
      <c r="Z34" s="210"/>
      <c r="AA34" s="215"/>
      <c r="AB34" s="211"/>
      <c r="AC34" s="211"/>
      <c r="AD34" s="212"/>
    </row>
    <row r="35" spans="1:30" ht="15" customHeight="1" outlineLevel="1">
      <c r="A35" s="813"/>
      <c r="B35" s="805"/>
      <c r="C35" s="755"/>
      <c r="D35" s="755"/>
      <c r="E35" s="208"/>
      <c r="F35" s="209"/>
      <c r="G35" s="209"/>
      <c r="H35" s="209"/>
      <c r="I35" s="210">
        <f t="shared" si="5"/>
        <v>0</v>
      </c>
      <c r="J35" s="215"/>
      <c r="K35" s="211"/>
      <c r="L35" s="211"/>
      <c r="M35" s="211"/>
      <c r="N35" s="212">
        <f>K35*L35*M35</f>
        <v>0</v>
      </c>
      <c r="O35" s="208"/>
      <c r="P35" s="209"/>
      <c r="Q35" s="209"/>
      <c r="R35" s="210">
        <f t="shared" si="6"/>
        <v>0</v>
      </c>
      <c r="S35" s="215"/>
      <c r="T35" s="211"/>
      <c r="U35" s="211"/>
      <c r="V35" s="212">
        <f>T35*U35</f>
        <v>0</v>
      </c>
      <c r="W35" s="213"/>
      <c r="X35" s="209"/>
      <c r="Y35" s="209"/>
      <c r="Z35" s="210">
        <f t="shared" si="7"/>
        <v>0</v>
      </c>
      <c r="AA35" s="215"/>
      <c r="AB35" s="211"/>
      <c r="AC35" s="211"/>
      <c r="AD35" s="212">
        <f>AB35*AC35</f>
        <v>0</v>
      </c>
    </row>
    <row r="36" spans="1:30" ht="15.75" customHeight="1" outlineLevel="1" thickBot="1">
      <c r="A36" s="814"/>
      <c r="B36" s="806"/>
      <c r="C36" s="755"/>
      <c r="D36" s="503"/>
      <c r="E36" s="216"/>
      <c r="F36" s="217"/>
      <c r="G36" s="217"/>
      <c r="H36" s="217"/>
      <c r="I36" s="218">
        <f t="shared" si="5"/>
        <v>0</v>
      </c>
      <c r="J36" s="219"/>
      <c r="K36" s="220"/>
      <c r="L36" s="220"/>
      <c r="M36" s="220"/>
      <c r="N36" s="221">
        <f>K36*L36*M36</f>
        <v>0</v>
      </c>
      <c r="O36" s="216"/>
      <c r="P36" s="217"/>
      <c r="Q36" s="217"/>
      <c r="R36" s="218">
        <f t="shared" si="6"/>
        <v>0</v>
      </c>
      <c r="S36" s="219"/>
      <c r="T36" s="220"/>
      <c r="U36" s="220"/>
      <c r="V36" s="221">
        <f>T36*U36</f>
        <v>0</v>
      </c>
      <c r="W36" s="222"/>
      <c r="X36" s="217"/>
      <c r="Y36" s="217"/>
      <c r="Z36" s="218">
        <f t="shared" si="7"/>
        <v>0</v>
      </c>
      <c r="AA36" s="219"/>
      <c r="AB36" s="220"/>
      <c r="AC36" s="220"/>
      <c r="AD36" s="221">
        <f>AB36*AC36</f>
        <v>0</v>
      </c>
    </row>
    <row r="37" spans="1:30" ht="18.600000000000001" thickBot="1">
      <c r="A37" s="487" t="s">
        <v>51</v>
      </c>
      <c r="B37" s="488">
        <f>SUM(B39:B68)</f>
        <v>6205039.1999999993</v>
      </c>
      <c r="C37" s="488"/>
      <c r="D37" s="488">
        <f>SUM(D39:D68)</f>
        <v>4726293</v>
      </c>
      <c r="E37" s="788" t="s">
        <v>52</v>
      </c>
      <c r="F37" s="789"/>
      <c r="G37" s="789"/>
      <c r="H37" s="789"/>
      <c r="I37" s="789"/>
      <c r="J37" s="789"/>
      <c r="K37" s="789"/>
      <c r="L37" s="789"/>
      <c r="M37" s="789"/>
      <c r="N37" s="789"/>
      <c r="O37" s="789"/>
      <c r="P37" s="789"/>
      <c r="Q37" s="789"/>
      <c r="R37" s="789"/>
      <c r="S37" s="789"/>
      <c r="T37" s="789"/>
      <c r="U37" s="789"/>
      <c r="V37" s="789"/>
      <c r="W37" s="789"/>
      <c r="X37" s="789"/>
      <c r="Y37" s="789"/>
      <c r="Z37" s="789"/>
      <c r="AA37" s="1036"/>
      <c r="AB37" s="1036"/>
      <c r="AC37" s="1036"/>
      <c r="AD37" s="1036"/>
    </row>
    <row r="38" spans="1:30" ht="16.149999999999999" thickBot="1">
      <c r="A38" s="815"/>
      <c r="B38" s="816"/>
      <c r="C38" s="816"/>
      <c r="D38" s="816"/>
      <c r="E38" s="816"/>
      <c r="F38" s="816"/>
      <c r="G38" s="816"/>
      <c r="H38" s="816"/>
      <c r="I38" s="816"/>
      <c r="J38" s="816"/>
      <c r="K38" s="816"/>
      <c r="L38" s="816"/>
      <c r="M38" s="816"/>
      <c r="N38" s="816"/>
      <c r="O38" s="816"/>
      <c r="P38" s="816"/>
      <c r="Q38" s="816"/>
      <c r="R38" s="816"/>
      <c r="S38" s="816"/>
      <c r="T38" s="816"/>
      <c r="U38" s="816"/>
      <c r="V38" s="816"/>
      <c r="W38" s="816"/>
      <c r="X38" s="816"/>
      <c r="Y38" s="816"/>
      <c r="Z38" s="816"/>
      <c r="AA38" s="1037"/>
      <c r="AB38" s="1037"/>
      <c r="AC38" s="1037"/>
      <c r="AD38" s="1037"/>
    </row>
    <row r="39" spans="1:30" ht="29.25" customHeight="1">
      <c r="A39" s="800" t="s">
        <v>53</v>
      </c>
      <c r="B39" s="803">
        <f>SUM(I39:I44)+SUM(N39:N44)+SUM(R39:R44)+SUM(V39:V44)+SUM(AD39:AD44)</f>
        <v>208000</v>
      </c>
      <c r="C39" s="502"/>
      <c r="D39" s="507"/>
      <c r="E39" s="201"/>
      <c r="F39" s="202"/>
      <c r="G39" s="202"/>
      <c r="H39" s="202"/>
      <c r="I39" s="203">
        <f>F39*G39*H39</f>
        <v>0</v>
      </c>
      <c r="J39" s="246" t="s">
        <v>54</v>
      </c>
      <c r="K39" s="204">
        <f>Prices!D2</f>
        <v>16500</v>
      </c>
      <c r="L39" s="239">
        <v>6</v>
      </c>
      <c r="M39" s="239">
        <v>2</v>
      </c>
      <c r="N39" s="205">
        <f t="shared" ref="N39:N44" si="8">K39*L39*M39</f>
        <v>198000</v>
      </c>
      <c r="O39" s="201"/>
      <c r="P39" s="202"/>
      <c r="Q39" s="202"/>
      <c r="R39" s="203">
        <f t="shared" ref="R39:R62" si="9">P39*Q39</f>
        <v>0</v>
      </c>
      <c r="S39" s="206" t="s">
        <v>55</v>
      </c>
      <c r="T39" s="204">
        <v>5000</v>
      </c>
      <c r="U39" s="204">
        <v>2</v>
      </c>
      <c r="V39" s="432">
        <f>T39*U39</f>
        <v>10000</v>
      </c>
      <c r="W39" s="430"/>
      <c r="X39" s="202"/>
      <c r="Y39" s="202"/>
      <c r="Z39" s="203">
        <f>X39*Y39</f>
        <v>0</v>
      </c>
      <c r="AA39" s="206"/>
      <c r="AB39" s="204"/>
      <c r="AC39" s="204"/>
      <c r="AD39" s="432">
        <f>AB39*AC39</f>
        <v>0</v>
      </c>
    </row>
    <row r="40" spans="1:30" ht="15.6">
      <c r="A40" s="801"/>
      <c r="B40" s="804"/>
      <c r="C40" s="754"/>
      <c r="D40" s="508"/>
      <c r="E40" s="208"/>
      <c r="F40" s="209"/>
      <c r="G40" s="209"/>
      <c r="H40" s="209"/>
      <c r="I40" s="210">
        <f>F40*G40*H40</f>
        <v>0</v>
      </c>
      <c r="J40" s="238"/>
      <c r="K40" s="211"/>
      <c r="L40" s="240"/>
      <c r="M40" s="240"/>
      <c r="N40" s="212">
        <f t="shared" si="8"/>
        <v>0</v>
      </c>
      <c r="O40" s="332"/>
      <c r="P40" s="209"/>
      <c r="Q40" s="209"/>
      <c r="R40" s="345">
        <f t="shared" si="9"/>
        <v>0</v>
      </c>
      <c r="S40" s="215"/>
      <c r="T40" s="211"/>
      <c r="U40" s="211"/>
      <c r="V40" s="433"/>
      <c r="W40" s="431"/>
      <c r="X40" s="209"/>
      <c r="Y40" s="209"/>
      <c r="Z40" s="210">
        <f>X40*Y40</f>
        <v>0</v>
      </c>
      <c r="AA40" s="215"/>
      <c r="AB40" s="211"/>
      <c r="AC40" s="211"/>
      <c r="AD40" s="433"/>
    </row>
    <row r="41" spans="1:30" ht="15.6">
      <c r="A41" s="801"/>
      <c r="B41" s="804"/>
      <c r="C41" s="754"/>
      <c r="D41" s="508"/>
      <c r="E41" s="208"/>
      <c r="F41" s="209"/>
      <c r="G41" s="209"/>
      <c r="H41" s="209"/>
      <c r="I41" s="210"/>
      <c r="J41" s="346"/>
      <c r="K41" s="211"/>
      <c r="L41" s="240"/>
      <c r="M41" s="240"/>
      <c r="N41" s="212">
        <f t="shared" si="8"/>
        <v>0</v>
      </c>
      <c r="O41" s="337"/>
      <c r="P41" s="209"/>
      <c r="Q41" s="209"/>
      <c r="R41" s="345">
        <f t="shared" si="9"/>
        <v>0</v>
      </c>
      <c r="S41" s="215"/>
      <c r="T41" s="211"/>
      <c r="U41" s="211"/>
      <c r="V41" s="433"/>
      <c r="W41" s="431"/>
      <c r="X41" s="209"/>
      <c r="Y41" s="209"/>
      <c r="Z41" s="210"/>
      <c r="AA41" s="215"/>
      <c r="AB41" s="211"/>
      <c r="AC41" s="211"/>
      <c r="AD41" s="433"/>
    </row>
    <row r="42" spans="1:30" ht="15.6">
      <c r="A42" s="801"/>
      <c r="B42" s="804"/>
      <c r="C42" s="754"/>
      <c r="D42" s="508"/>
      <c r="E42" s="208"/>
      <c r="F42" s="209"/>
      <c r="G42" s="209"/>
      <c r="H42" s="209"/>
      <c r="I42" s="210">
        <f>F42*G42*H42</f>
        <v>0</v>
      </c>
      <c r="J42" s="346"/>
      <c r="K42" s="211"/>
      <c r="L42" s="211"/>
      <c r="M42" s="211"/>
      <c r="N42" s="212">
        <f t="shared" si="8"/>
        <v>0</v>
      </c>
      <c r="O42" s="337"/>
      <c r="P42" s="338"/>
      <c r="Q42" s="338"/>
      <c r="R42" s="345">
        <f t="shared" si="9"/>
        <v>0</v>
      </c>
      <c r="S42" s="215"/>
      <c r="T42" s="211"/>
      <c r="U42" s="211"/>
      <c r="V42" s="433">
        <f>S42*T42*U42</f>
        <v>0</v>
      </c>
      <c r="W42" s="431"/>
      <c r="X42" s="209"/>
      <c r="Y42" s="209"/>
      <c r="Z42" s="210">
        <f>W42*X42*Y42</f>
        <v>0</v>
      </c>
      <c r="AA42" s="215"/>
      <c r="AB42" s="211"/>
      <c r="AC42" s="211"/>
      <c r="AD42" s="433">
        <f>AA42*AB42*AC42</f>
        <v>0</v>
      </c>
    </row>
    <row r="43" spans="1:30" ht="15.6" outlineLevel="1">
      <c r="A43" s="801"/>
      <c r="B43" s="805"/>
      <c r="C43" s="755"/>
      <c r="D43" s="509"/>
      <c r="E43" s="208"/>
      <c r="F43" s="209"/>
      <c r="G43" s="209"/>
      <c r="H43" s="209"/>
      <c r="I43" s="210">
        <f>F43*G43*H43</f>
        <v>0</v>
      </c>
      <c r="J43" s="238"/>
      <c r="K43" s="211"/>
      <c r="L43" s="211"/>
      <c r="M43" s="211"/>
      <c r="N43" s="212">
        <f t="shared" si="8"/>
        <v>0</v>
      </c>
      <c r="O43" s="208"/>
      <c r="P43" s="209"/>
      <c r="Q43" s="209"/>
      <c r="R43" s="345">
        <f t="shared" si="9"/>
        <v>0</v>
      </c>
      <c r="S43" s="215"/>
      <c r="T43" s="211"/>
      <c r="U43" s="211"/>
      <c r="V43" s="433">
        <f>S43*T43*U43</f>
        <v>0</v>
      </c>
      <c r="W43" s="431"/>
      <c r="X43" s="209"/>
      <c r="Y43" s="209"/>
      <c r="Z43" s="210">
        <f>W43*X43*Y43</f>
        <v>0</v>
      </c>
      <c r="AA43" s="215"/>
      <c r="AB43" s="211"/>
      <c r="AC43" s="211"/>
      <c r="AD43" s="433">
        <f>AA43*AB43*AC43</f>
        <v>0</v>
      </c>
    </row>
    <row r="44" spans="1:30" ht="16.149999999999999" outlineLevel="1" thickBot="1">
      <c r="A44" s="802"/>
      <c r="B44" s="806"/>
      <c r="C44" s="756"/>
      <c r="D44" s="510"/>
      <c r="E44" s="224"/>
      <c r="F44" s="225"/>
      <c r="G44" s="225"/>
      <c r="H44" s="225"/>
      <c r="I44" s="226">
        <f>F44*G44*H44</f>
        <v>0</v>
      </c>
      <c r="J44" s="228"/>
      <c r="K44" s="228"/>
      <c r="L44" s="228"/>
      <c r="M44" s="228"/>
      <c r="N44" s="229">
        <f t="shared" si="8"/>
        <v>0</v>
      </c>
      <c r="O44" s="224"/>
      <c r="P44" s="225"/>
      <c r="Q44" s="225"/>
      <c r="R44" s="345">
        <f t="shared" si="9"/>
        <v>0</v>
      </c>
      <c r="S44" s="227"/>
      <c r="T44" s="228"/>
      <c r="U44" s="228"/>
      <c r="V44" s="434">
        <f>T44*U44</f>
        <v>0</v>
      </c>
      <c r="W44" s="340"/>
      <c r="X44" s="217"/>
      <c r="Y44" s="217"/>
      <c r="Z44" s="218">
        <f>X44*Y44</f>
        <v>0</v>
      </c>
      <c r="AA44" s="227"/>
      <c r="AB44" s="228"/>
      <c r="AC44" s="228"/>
      <c r="AD44" s="434">
        <f>AB44*AC44</f>
        <v>0</v>
      </c>
    </row>
    <row r="45" spans="1:30" ht="68.25" customHeight="1" thickBot="1">
      <c r="A45" s="800" t="s">
        <v>56</v>
      </c>
      <c r="B45" s="803">
        <f>SUM(I45:I50)+SUM(N45:N50)+SUM(R45:R50)+SUM(V45:V50)+SUM(AD45:AD50)</f>
        <v>2833764</v>
      </c>
      <c r="C45" s="502" t="s">
        <v>57</v>
      </c>
      <c r="D45" s="507">
        <v>61185</v>
      </c>
      <c r="E45" s="201"/>
      <c r="F45" s="202"/>
      <c r="G45" s="202"/>
      <c r="H45" s="202"/>
      <c r="I45" s="203">
        <f>F45*G45*H45</f>
        <v>0</v>
      </c>
      <c r="J45" s="246" t="s">
        <v>58</v>
      </c>
      <c r="K45" s="204">
        <f>Prices!D5</f>
        <v>20354.399999999998</v>
      </c>
      <c r="L45" s="239">
        <v>12</v>
      </c>
      <c r="M45" s="239">
        <v>5</v>
      </c>
      <c r="N45" s="205">
        <f t="shared" ref="N45:N56" si="10">K45*L45*M45</f>
        <v>1221264</v>
      </c>
      <c r="O45" s="201"/>
      <c r="P45" s="202"/>
      <c r="Q45" s="202"/>
      <c r="R45" s="203">
        <f t="shared" si="9"/>
        <v>0</v>
      </c>
      <c r="S45" s="366" t="s">
        <v>59</v>
      </c>
      <c r="T45" s="365">
        <v>2000</v>
      </c>
      <c r="U45" s="365">
        <v>5</v>
      </c>
      <c r="V45" s="490">
        <f>T45*U45</f>
        <v>10000</v>
      </c>
      <c r="W45" s="430"/>
      <c r="X45" s="202"/>
      <c r="Y45" s="202"/>
      <c r="Z45" s="203">
        <f>X45*Y45</f>
        <v>0</v>
      </c>
      <c r="AA45" s="206"/>
      <c r="AB45" s="204"/>
      <c r="AC45" s="204"/>
      <c r="AD45" s="432">
        <f>AB45*AC45</f>
        <v>0</v>
      </c>
    </row>
    <row r="46" spans="1:30" ht="41.45">
      <c r="A46" s="801"/>
      <c r="B46" s="804"/>
      <c r="C46" s="522" t="s">
        <v>60</v>
      </c>
      <c r="D46" s="508"/>
      <c r="E46" s="208"/>
      <c r="F46" s="209"/>
      <c r="G46" s="209"/>
      <c r="H46" s="209"/>
      <c r="I46" s="210">
        <f>F46*G46*H46</f>
        <v>0</v>
      </c>
      <c r="J46" s="238"/>
      <c r="K46" s="211"/>
      <c r="L46" s="240"/>
      <c r="M46" s="240"/>
      <c r="N46" s="212">
        <f t="shared" si="10"/>
        <v>0</v>
      </c>
      <c r="O46" s="332"/>
      <c r="P46" s="209"/>
      <c r="Q46" s="209"/>
      <c r="R46" s="491">
        <f t="shared" si="9"/>
        <v>0</v>
      </c>
      <c r="S46" s="492" t="s">
        <v>61</v>
      </c>
      <c r="T46" s="204">
        <v>500</v>
      </c>
      <c r="U46" s="204">
        <v>3205</v>
      </c>
      <c r="V46" s="432">
        <f>T46*U46</f>
        <v>1602500</v>
      </c>
      <c r="W46" s="431"/>
      <c r="X46" s="209"/>
      <c r="Y46" s="209"/>
      <c r="Z46" s="210">
        <f>X46*Y46</f>
        <v>0</v>
      </c>
      <c r="AA46" s="215"/>
      <c r="AB46" s="211"/>
      <c r="AC46" s="211"/>
      <c r="AD46" s="433"/>
    </row>
    <row r="47" spans="1:30" ht="15.6">
      <c r="A47" s="801"/>
      <c r="B47" s="804"/>
      <c r="C47" s="754"/>
      <c r="D47" s="508"/>
      <c r="E47" s="208"/>
      <c r="F47" s="209"/>
      <c r="G47" s="209"/>
      <c r="H47" s="209"/>
      <c r="I47" s="210"/>
      <c r="J47" s="346"/>
      <c r="K47" s="211"/>
      <c r="L47" s="240"/>
      <c r="M47" s="240"/>
      <c r="N47" s="212">
        <f t="shared" si="10"/>
        <v>0</v>
      </c>
      <c r="O47" s="337"/>
      <c r="P47" s="209"/>
      <c r="Q47" s="209"/>
      <c r="R47" s="491">
        <f t="shared" si="9"/>
        <v>0</v>
      </c>
      <c r="S47" s="440"/>
      <c r="T47" s="211"/>
      <c r="U47" s="211"/>
      <c r="V47" s="433">
        <f>T47*U47</f>
        <v>0</v>
      </c>
      <c r="W47" s="431"/>
      <c r="X47" s="209"/>
      <c r="Y47" s="209"/>
      <c r="Z47" s="210"/>
      <c r="AA47" s="215"/>
      <c r="AB47" s="211"/>
      <c r="AC47" s="211"/>
      <c r="AD47" s="433"/>
    </row>
    <row r="48" spans="1:30" ht="15.6">
      <c r="A48" s="801"/>
      <c r="B48" s="804"/>
      <c r="C48" s="754"/>
      <c r="D48" s="508"/>
      <c r="E48" s="208"/>
      <c r="F48" s="209"/>
      <c r="G48" s="209"/>
      <c r="H48" s="209"/>
      <c r="I48" s="210">
        <f>F48*G48*H48</f>
        <v>0</v>
      </c>
      <c r="J48" s="346"/>
      <c r="K48" s="211"/>
      <c r="L48" s="211"/>
      <c r="M48" s="211"/>
      <c r="N48" s="212">
        <f t="shared" si="10"/>
        <v>0</v>
      </c>
      <c r="O48" s="337"/>
      <c r="P48" s="338"/>
      <c r="Q48" s="338"/>
      <c r="R48" s="491">
        <f t="shared" si="9"/>
        <v>0</v>
      </c>
      <c r="S48" s="440"/>
      <c r="T48" s="211"/>
      <c r="U48" s="211"/>
      <c r="V48" s="433">
        <f>T48*U48</f>
        <v>0</v>
      </c>
      <c r="W48" s="431"/>
      <c r="X48" s="209"/>
      <c r="Y48" s="209"/>
      <c r="Z48" s="210">
        <f>W48*X48*Y48</f>
        <v>0</v>
      </c>
      <c r="AA48" s="215"/>
      <c r="AB48" s="211"/>
      <c r="AC48" s="211"/>
      <c r="AD48" s="433">
        <f>AA48*AB48*AC48</f>
        <v>0</v>
      </c>
    </row>
    <row r="49" spans="1:30" ht="15.6" outlineLevel="1">
      <c r="A49" s="801"/>
      <c r="B49" s="805"/>
      <c r="C49" s="755"/>
      <c r="D49" s="509"/>
      <c r="E49" s="208"/>
      <c r="F49" s="209"/>
      <c r="G49" s="209"/>
      <c r="H49" s="209"/>
      <c r="I49" s="210">
        <f>F49*G49*H49</f>
        <v>0</v>
      </c>
      <c r="J49" s="238"/>
      <c r="K49" s="211"/>
      <c r="L49" s="211"/>
      <c r="M49" s="211"/>
      <c r="N49" s="212">
        <f t="shared" si="10"/>
        <v>0</v>
      </c>
      <c r="O49" s="208"/>
      <c r="P49" s="209"/>
      <c r="Q49" s="209"/>
      <c r="R49" s="491">
        <f t="shared" si="9"/>
        <v>0</v>
      </c>
      <c r="S49" s="440"/>
      <c r="T49" s="211"/>
      <c r="U49" s="211"/>
      <c r="V49" s="433">
        <f>S49*T49*U49</f>
        <v>0</v>
      </c>
      <c r="W49" s="431"/>
      <c r="X49" s="209"/>
      <c r="Y49" s="209"/>
      <c r="Z49" s="210">
        <f>W49*X49*Y49</f>
        <v>0</v>
      </c>
      <c r="AA49" s="215"/>
      <c r="AB49" s="211"/>
      <c r="AC49" s="211"/>
      <c r="AD49" s="433">
        <f>AA49*AB49*AC49</f>
        <v>0</v>
      </c>
    </row>
    <row r="50" spans="1:30" ht="16.149999999999999" outlineLevel="1" thickBot="1">
      <c r="A50" s="802"/>
      <c r="B50" s="806"/>
      <c r="C50" s="756"/>
      <c r="D50" s="510"/>
      <c r="E50" s="224"/>
      <c r="F50" s="225"/>
      <c r="G50" s="225"/>
      <c r="H50" s="225"/>
      <c r="I50" s="226">
        <f>F50*G50*H50</f>
        <v>0</v>
      </c>
      <c r="J50" s="228"/>
      <c r="K50" s="228"/>
      <c r="L50" s="228"/>
      <c r="M50" s="228"/>
      <c r="N50" s="229">
        <f t="shared" si="10"/>
        <v>0</v>
      </c>
      <c r="O50" s="224"/>
      <c r="P50" s="225"/>
      <c r="Q50" s="225"/>
      <c r="R50" s="491">
        <f t="shared" si="9"/>
        <v>0</v>
      </c>
      <c r="S50" s="447"/>
      <c r="T50" s="220"/>
      <c r="U50" s="220"/>
      <c r="V50" s="450">
        <f t="shared" ref="V50:V57" si="11">T50*U50</f>
        <v>0</v>
      </c>
      <c r="W50" s="340"/>
      <c r="X50" s="217"/>
      <c r="Y50" s="217"/>
      <c r="Z50" s="218">
        <f>X50*Y50</f>
        <v>0</v>
      </c>
      <c r="AA50" s="227"/>
      <c r="AB50" s="228"/>
      <c r="AC50" s="228"/>
      <c r="AD50" s="434">
        <f>AB50*AC50</f>
        <v>0</v>
      </c>
    </row>
    <row r="51" spans="1:30" ht="46.9">
      <c r="A51" s="800" t="s">
        <v>62</v>
      </c>
      <c r="B51" s="803">
        <f>SUM(I51:I56)+SUM(N51:N56)+SUM(R51:R56)+SUM(V51:V56)+SUM(AD51:AD56)</f>
        <v>400000</v>
      </c>
      <c r="C51" s="754" t="s">
        <v>63</v>
      </c>
      <c r="D51" s="507">
        <v>385180</v>
      </c>
      <c r="E51" s="201"/>
      <c r="F51" s="202"/>
      <c r="G51" s="202"/>
      <c r="H51" s="202"/>
      <c r="I51" s="203">
        <f>F51*G51*H51</f>
        <v>0</v>
      </c>
      <c r="J51" s="246"/>
      <c r="K51" s="204"/>
      <c r="L51" s="239"/>
      <c r="M51" s="239"/>
      <c r="N51" s="205">
        <f t="shared" si="10"/>
        <v>0</v>
      </c>
      <c r="O51" s="201"/>
      <c r="P51" s="202"/>
      <c r="Q51" s="202"/>
      <c r="R51" s="494">
        <f t="shared" si="9"/>
        <v>0</v>
      </c>
      <c r="S51" s="492" t="s">
        <v>64</v>
      </c>
      <c r="T51" s="204">
        <v>400000</v>
      </c>
      <c r="U51" s="204">
        <v>1</v>
      </c>
      <c r="V51" s="432">
        <f t="shared" si="11"/>
        <v>400000</v>
      </c>
      <c r="W51" s="430"/>
      <c r="X51" s="202"/>
      <c r="Y51" s="202"/>
      <c r="Z51" s="203">
        <f>X51*Y51</f>
        <v>0</v>
      </c>
      <c r="AA51" s="206"/>
      <c r="AB51" s="204"/>
      <c r="AC51" s="204"/>
      <c r="AD51" s="432">
        <f>AB51*AC51</f>
        <v>0</v>
      </c>
    </row>
    <row r="52" spans="1:30" ht="31.15">
      <c r="A52" s="801"/>
      <c r="B52" s="804"/>
      <c r="C52" s="754" t="s">
        <v>65</v>
      </c>
      <c r="D52" s="508">
        <v>406260</v>
      </c>
      <c r="E52" s="208"/>
      <c r="F52" s="209"/>
      <c r="G52" s="209"/>
      <c r="H52" s="209"/>
      <c r="I52" s="210">
        <f>F52*G52*H52</f>
        <v>0</v>
      </c>
      <c r="J52" s="238"/>
      <c r="K52" s="211"/>
      <c r="L52" s="240"/>
      <c r="M52" s="240"/>
      <c r="N52" s="212">
        <f t="shared" si="10"/>
        <v>0</v>
      </c>
      <c r="O52" s="332"/>
      <c r="P52" s="209"/>
      <c r="Q52" s="209"/>
      <c r="R52" s="491">
        <f t="shared" si="9"/>
        <v>0</v>
      </c>
      <c r="S52" s="440"/>
      <c r="T52" s="211"/>
      <c r="U52" s="211"/>
      <c r="V52" s="433">
        <f t="shared" si="11"/>
        <v>0</v>
      </c>
      <c r="W52" s="431"/>
      <c r="X52" s="209"/>
      <c r="Y52" s="209"/>
      <c r="Z52" s="210">
        <f>X52*Y52</f>
        <v>0</v>
      </c>
      <c r="AA52" s="215"/>
      <c r="AB52" s="211"/>
      <c r="AC52" s="211"/>
      <c r="AD52" s="433"/>
    </row>
    <row r="53" spans="1:30" ht="15.6">
      <c r="A53" s="801"/>
      <c r="B53" s="804"/>
      <c r="C53" s="754"/>
      <c r="D53" s="508"/>
      <c r="E53" s="208"/>
      <c r="F53" s="209"/>
      <c r="G53" s="209"/>
      <c r="H53" s="209"/>
      <c r="I53" s="210"/>
      <c r="J53" s="346"/>
      <c r="K53" s="211"/>
      <c r="L53" s="240"/>
      <c r="M53" s="240"/>
      <c r="N53" s="212">
        <f t="shared" si="10"/>
        <v>0</v>
      </c>
      <c r="O53" s="337"/>
      <c r="P53" s="209"/>
      <c r="Q53" s="209"/>
      <c r="R53" s="491">
        <f t="shared" si="9"/>
        <v>0</v>
      </c>
      <c r="S53" s="440"/>
      <c r="T53" s="211"/>
      <c r="U53" s="211"/>
      <c r="V53" s="433">
        <f t="shared" si="11"/>
        <v>0</v>
      </c>
      <c r="W53" s="431"/>
      <c r="X53" s="209"/>
      <c r="Y53" s="209"/>
      <c r="Z53" s="210"/>
      <c r="AA53" s="215"/>
      <c r="AB53" s="211"/>
      <c r="AC53" s="211"/>
      <c r="AD53" s="433"/>
    </row>
    <row r="54" spans="1:30" ht="15.6">
      <c r="A54" s="801"/>
      <c r="B54" s="804"/>
      <c r="C54" s="754"/>
      <c r="D54" s="508"/>
      <c r="E54" s="208"/>
      <c r="F54" s="209"/>
      <c r="G54" s="209"/>
      <c r="H54" s="209"/>
      <c r="I54" s="210">
        <f>F54*G54*H54</f>
        <v>0</v>
      </c>
      <c r="J54" s="346"/>
      <c r="K54" s="211"/>
      <c r="L54" s="211"/>
      <c r="M54" s="211"/>
      <c r="N54" s="212">
        <f t="shared" si="10"/>
        <v>0</v>
      </c>
      <c r="O54" s="337"/>
      <c r="P54" s="338"/>
      <c r="Q54" s="338"/>
      <c r="R54" s="491">
        <f t="shared" si="9"/>
        <v>0</v>
      </c>
      <c r="S54" s="440"/>
      <c r="T54" s="211"/>
      <c r="U54" s="211"/>
      <c r="V54" s="433">
        <f t="shared" si="11"/>
        <v>0</v>
      </c>
      <c r="W54" s="431"/>
      <c r="X54" s="209"/>
      <c r="Y54" s="209"/>
      <c r="Z54" s="210">
        <f>W54*X54*Y54</f>
        <v>0</v>
      </c>
      <c r="AA54" s="215"/>
      <c r="AB54" s="211"/>
      <c r="AC54" s="211"/>
      <c r="AD54" s="433">
        <f>AA54*AB54*AC54</f>
        <v>0</v>
      </c>
    </row>
    <row r="55" spans="1:30" ht="15.6" outlineLevel="1">
      <c r="A55" s="801"/>
      <c r="B55" s="805"/>
      <c r="C55" s="755"/>
      <c r="D55" s="509"/>
      <c r="E55" s="208"/>
      <c r="F55" s="209"/>
      <c r="G55" s="209"/>
      <c r="H55" s="209"/>
      <c r="I55" s="210">
        <f>F55*G55*H55</f>
        <v>0</v>
      </c>
      <c r="J55" s="238"/>
      <c r="K55" s="211"/>
      <c r="L55" s="211"/>
      <c r="M55" s="211"/>
      <c r="N55" s="212">
        <f t="shared" si="10"/>
        <v>0</v>
      </c>
      <c r="O55" s="208"/>
      <c r="P55" s="209"/>
      <c r="Q55" s="209"/>
      <c r="R55" s="491">
        <f t="shared" si="9"/>
        <v>0</v>
      </c>
      <c r="S55" s="440"/>
      <c r="T55" s="211"/>
      <c r="U55" s="211"/>
      <c r="V55" s="433">
        <f t="shared" si="11"/>
        <v>0</v>
      </c>
      <c r="W55" s="431"/>
      <c r="X55" s="209"/>
      <c r="Y55" s="209"/>
      <c r="Z55" s="210">
        <f>W55*X55*Y55</f>
        <v>0</v>
      </c>
      <c r="AA55" s="215"/>
      <c r="AB55" s="211"/>
      <c r="AC55" s="211"/>
      <c r="AD55" s="433">
        <f>AA55*AB55*AC55</f>
        <v>0</v>
      </c>
    </row>
    <row r="56" spans="1:30" ht="16.149999999999999" outlineLevel="1" thickBot="1">
      <c r="A56" s="802"/>
      <c r="B56" s="806"/>
      <c r="C56" s="756"/>
      <c r="D56" s="510"/>
      <c r="E56" s="224"/>
      <c r="F56" s="225"/>
      <c r="G56" s="225"/>
      <c r="H56" s="225"/>
      <c r="I56" s="226">
        <f>F56*G56*H56</f>
        <v>0</v>
      </c>
      <c r="J56" s="228"/>
      <c r="K56" s="228"/>
      <c r="L56" s="228"/>
      <c r="M56" s="228"/>
      <c r="N56" s="229">
        <f t="shared" si="10"/>
        <v>0</v>
      </c>
      <c r="O56" s="224"/>
      <c r="P56" s="225"/>
      <c r="Q56" s="225"/>
      <c r="R56" s="491">
        <f t="shared" si="9"/>
        <v>0</v>
      </c>
      <c r="S56" s="493"/>
      <c r="T56" s="228"/>
      <c r="U56" s="228"/>
      <c r="V56" s="434">
        <f t="shared" si="11"/>
        <v>0</v>
      </c>
      <c r="W56" s="340"/>
      <c r="X56" s="217"/>
      <c r="Y56" s="217"/>
      <c r="Z56" s="218">
        <f>X56*Y56</f>
        <v>0</v>
      </c>
      <c r="AA56" s="227"/>
      <c r="AB56" s="228"/>
      <c r="AC56" s="228"/>
      <c r="AD56" s="434">
        <f>AB56*AC56</f>
        <v>0</v>
      </c>
    </row>
    <row r="57" spans="1:30" ht="27.6">
      <c r="A57" s="800" t="s">
        <v>66</v>
      </c>
      <c r="B57" s="803">
        <f>SUM(I57:I62)+SUM(N57:N62)+SUM(R57:R62)+SUM(V57:V62)+SUM(AD57:AD62)</f>
        <v>515000</v>
      </c>
      <c r="C57" s="753"/>
      <c r="D57" s="507"/>
      <c r="E57" s="201"/>
      <c r="F57" s="202"/>
      <c r="G57" s="202"/>
      <c r="H57" s="202"/>
      <c r="I57" s="203">
        <f>F57*G57*H57</f>
        <v>0</v>
      </c>
      <c r="J57" s="246"/>
      <c r="K57" s="204"/>
      <c r="L57" s="239"/>
      <c r="M57" s="239"/>
      <c r="N57" s="205">
        <f t="shared" ref="N57:N62" si="12">K57*L57*M57</f>
        <v>0</v>
      </c>
      <c r="O57" s="201" t="s">
        <v>67</v>
      </c>
      <c r="P57" s="202">
        <v>500000</v>
      </c>
      <c r="Q57" s="202">
        <v>1</v>
      </c>
      <c r="R57" s="203">
        <f t="shared" si="9"/>
        <v>500000</v>
      </c>
      <c r="S57" s="243" t="s">
        <v>68</v>
      </c>
      <c r="T57" s="244">
        <v>5000</v>
      </c>
      <c r="U57" s="244">
        <v>3</v>
      </c>
      <c r="V57" s="435">
        <f t="shared" si="11"/>
        <v>15000</v>
      </c>
      <c r="W57" s="430"/>
      <c r="X57" s="202"/>
      <c r="Y57" s="202"/>
      <c r="Z57" s="203">
        <f>X57*Y57</f>
        <v>0</v>
      </c>
      <c r="AA57" s="206"/>
      <c r="AB57" s="204"/>
      <c r="AC57" s="204"/>
      <c r="AD57" s="432">
        <f>AB57*AC57</f>
        <v>0</v>
      </c>
    </row>
    <row r="58" spans="1:30" ht="15.6">
      <c r="A58" s="801"/>
      <c r="B58" s="804"/>
      <c r="C58" s="754"/>
      <c r="D58" s="508"/>
      <c r="E58" s="208"/>
      <c r="F58" s="209"/>
      <c r="G58" s="209"/>
      <c r="H58" s="209"/>
      <c r="I58" s="210">
        <f>F58*G58*H58</f>
        <v>0</v>
      </c>
      <c r="J58" s="238"/>
      <c r="K58" s="211"/>
      <c r="L58" s="240"/>
      <c r="M58" s="240"/>
      <c r="N58" s="212">
        <f t="shared" si="12"/>
        <v>0</v>
      </c>
      <c r="O58" s="332"/>
      <c r="P58" s="209"/>
      <c r="Q58" s="209"/>
      <c r="R58" s="345">
        <f t="shared" si="9"/>
        <v>0</v>
      </c>
      <c r="S58" s="215"/>
      <c r="T58" s="211"/>
      <c r="U58" s="211"/>
      <c r="V58" s="433"/>
      <c r="W58" s="431"/>
      <c r="X58" s="209"/>
      <c r="Y58" s="209"/>
      <c r="Z58" s="210">
        <f>X58*Y58</f>
        <v>0</v>
      </c>
      <c r="AA58" s="215"/>
      <c r="AB58" s="211"/>
      <c r="AC58" s="211"/>
      <c r="AD58" s="433"/>
    </row>
    <row r="59" spans="1:30" ht="15.6">
      <c r="A59" s="801"/>
      <c r="B59" s="804"/>
      <c r="C59" s="754"/>
      <c r="D59" s="508"/>
      <c r="E59" s="208"/>
      <c r="F59" s="209"/>
      <c r="G59" s="209"/>
      <c r="H59" s="209"/>
      <c r="I59" s="210"/>
      <c r="J59" s="346"/>
      <c r="K59" s="211"/>
      <c r="L59" s="240"/>
      <c r="M59" s="240"/>
      <c r="N59" s="212">
        <f t="shared" si="12"/>
        <v>0</v>
      </c>
      <c r="O59" s="337"/>
      <c r="P59" s="209"/>
      <c r="Q59" s="209"/>
      <c r="R59" s="345">
        <f t="shared" si="9"/>
        <v>0</v>
      </c>
      <c r="S59" s="215"/>
      <c r="T59" s="211"/>
      <c r="U59" s="211"/>
      <c r="V59" s="433"/>
      <c r="W59" s="431"/>
      <c r="X59" s="209"/>
      <c r="Y59" s="209"/>
      <c r="Z59" s="210"/>
      <c r="AA59" s="215"/>
      <c r="AB59" s="211"/>
      <c r="AC59" s="211"/>
      <c r="AD59" s="433"/>
    </row>
    <row r="60" spans="1:30" ht="15.6">
      <c r="A60" s="801"/>
      <c r="B60" s="804"/>
      <c r="C60" s="754"/>
      <c r="D60" s="508"/>
      <c r="E60" s="208"/>
      <c r="F60" s="209"/>
      <c r="G60" s="209"/>
      <c r="H60" s="209"/>
      <c r="I60" s="210">
        <f>F60*G60*H60</f>
        <v>0</v>
      </c>
      <c r="J60" s="346"/>
      <c r="K60" s="211"/>
      <c r="L60" s="211"/>
      <c r="M60" s="211"/>
      <c r="N60" s="212">
        <f t="shared" si="12"/>
        <v>0</v>
      </c>
      <c r="O60" s="337"/>
      <c r="P60" s="338"/>
      <c r="Q60" s="338"/>
      <c r="R60" s="345">
        <f t="shared" si="9"/>
        <v>0</v>
      </c>
      <c r="S60" s="215"/>
      <c r="T60" s="211"/>
      <c r="U60" s="211"/>
      <c r="V60" s="433">
        <f>S60*T60*U60</f>
        <v>0</v>
      </c>
      <c r="W60" s="431"/>
      <c r="X60" s="209"/>
      <c r="Y60" s="209"/>
      <c r="Z60" s="210">
        <f>W60*X60*Y60</f>
        <v>0</v>
      </c>
      <c r="AA60" s="215"/>
      <c r="AB60" s="211"/>
      <c r="AC60" s="211"/>
      <c r="AD60" s="433">
        <f>AA60*AB60*AC60</f>
        <v>0</v>
      </c>
    </row>
    <row r="61" spans="1:30" ht="15.6" outlineLevel="1">
      <c r="A61" s="801"/>
      <c r="B61" s="805"/>
      <c r="C61" s="755"/>
      <c r="D61" s="509"/>
      <c r="E61" s="208"/>
      <c r="F61" s="209"/>
      <c r="G61" s="209"/>
      <c r="H61" s="209"/>
      <c r="I61" s="210">
        <f>F61*G61*H61</f>
        <v>0</v>
      </c>
      <c r="J61" s="238"/>
      <c r="K61" s="211"/>
      <c r="L61" s="211"/>
      <c r="M61" s="211"/>
      <c r="N61" s="212">
        <f t="shared" si="12"/>
        <v>0</v>
      </c>
      <c r="O61" s="208"/>
      <c r="P61" s="209"/>
      <c r="Q61" s="209"/>
      <c r="R61" s="345">
        <f t="shared" si="9"/>
        <v>0</v>
      </c>
      <c r="S61" s="215"/>
      <c r="T61" s="211"/>
      <c r="U61" s="211"/>
      <c r="V61" s="433">
        <f>S61*T61*U61</f>
        <v>0</v>
      </c>
      <c r="W61" s="431"/>
      <c r="X61" s="209"/>
      <c r="Y61" s="209"/>
      <c r="Z61" s="210">
        <f>W61*X61*Y61</f>
        <v>0</v>
      </c>
      <c r="AA61" s="215"/>
      <c r="AB61" s="211"/>
      <c r="AC61" s="211"/>
      <c r="AD61" s="433">
        <f>AA61*AB61*AC61</f>
        <v>0</v>
      </c>
    </row>
    <row r="62" spans="1:30" ht="16.149999999999999" outlineLevel="1" thickBot="1">
      <c r="A62" s="802"/>
      <c r="B62" s="806"/>
      <c r="C62" s="756"/>
      <c r="D62" s="510"/>
      <c r="E62" s="224"/>
      <c r="F62" s="225"/>
      <c r="G62" s="225"/>
      <c r="H62" s="225"/>
      <c r="I62" s="226">
        <f>F62*G62*H62</f>
        <v>0</v>
      </c>
      <c r="J62" s="228"/>
      <c r="K62" s="228"/>
      <c r="L62" s="228"/>
      <c r="M62" s="228"/>
      <c r="N62" s="229">
        <f t="shared" si="12"/>
        <v>0</v>
      </c>
      <c r="O62" s="224"/>
      <c r="P62" s="225"/>
      <c r="Q62" s="225"/>
      <c r="R62" s="345">
        <f t="shared" si="9"/>
        <v>0</v>
      </c>
      <c r="S62" s="227"/>
      <c r="T62" s="228"/>
      <c r="U62" s="228"/>
      <c r="V62" s="434">
        <f>T62*U62</f>
        <v>0</v>
      </c>
      <c r="W62" s="340"/>
      <c r="X62" s="217"/>
      <c r="Y62" s="217"/>
      <c r="Z62" s="218">
        <f>X62*Y62</f>
        <v>0</v>
      </c>
      <c r="AA62" s="227"/>
      <c r="AB62" s="228"/>
      <c r="AC62" s="228"/>
      <c r="AD62" s="434">
        <f>AB62*AC62</f>
        <v>0</v>
      </c>
    </row>
    <row r="63" spans="1:30" ht="110.45">
      <c r="A63" s="800" t="s">
        <v>69</v>
      </c>
      <c r="B63" s="803">
        <f>SUM(I63:I68)+SUM(N63:N68)+SUM(R63:R68)+SUM(V63:V68)+SUM(AD63:AD68)</f>
        <v>2248275.1999999997</v>
      </c>
      <c r="C63" s="502" t="s">
        <v>60</v>
      </c>
      <c r="D63" s="507">
        <v>3235807</v>
      </c>
      <c r="E63" s="201"/>
      <c r="F63" s="202"/>
      <c r="G63" s="202"/>
      <c r="H63" s="202"/>
      <c r="I63" s="203">
        <f>F63*G63*H63</f>
        <v>0</v>
      </c>
      <c r="J63" s="246" t="s">
        <v>70</v>
      </c>
      <c r="K63" s="204">
        <f>Prices!D5</f>
        <v>20354.399999999998</v>
      </c>
      <c r="L63" s="239">
        <v>36</v>
      </c>
      <c r="M63" s="239">
        <v>3</v>
      </c>
      <c r="N63" s="205">
        <f t="shared" ref="N63:N68" si="13">K63*L63*M63</f>
        <v>2198275.1999999997</v>
      </c>
      <c r="O63" s="201"/>
      <c r="P63" s="202"/>
      <c r="Q63" s="202"/>
      <c r="R63" s="203">
        <f t="shared" ref="R63:R68" si="14">P63*Q63</f>
        <v>0</v>
      </c>
      <c r="S63" s="206" t="s">
        <v>71</v>
      </c>
      <c r="T63" s="204">
        <v>5000</v>
      </c>
      <c r="U63" s="204">
        <v>10</v>
      </c>
      <c r="V63" s="432">
        <f>T63*U63</f>
        <v>50000</v>
      </c>
      <c r="W63" s="430"/>
      <c r="X63" s="202"/>
      <c r="Y63" s="202"/>
      <c r="Z63" s="203">
        <f>X63*Y63</f>
        <v>0</v>
      </c>
      <c r="AA63" s="206"/>
      <c r="AB63" s="204"/>
      <c r="AC63" s="204"/>
      <c r="AD63" s="432">
        <f>AB63*AC63</f>
        <v>0</v>
      </c>
    </row>
    <row r="64" spans="1:30" ht="31.15">
      <c r="A64" s="801"/>
      <c r="B64" s="804"/>
      <c r="C64" s="754" t="s">
        <v>72</v>
      </c>
      <c r="D64" s="508">
        <v>637861</v>
      </c>
      <c r="E64" s="208"/>
      <c r="F64" s="209"/>
      <c r="G64" s="209"/>
      <c r="H64" s="209"/>
      <c r="I64" s="210">
        <f>F64*G64*H64</f>
        <v>0</v>
      </c>
      <c r="J64" s="238"/>
      <c r="K64" s="211"/>
      <c r="L64" s="240"/>
      <c r="M64" s="240"/>
      <c r="N64" s="212">
        <f t="shared" si="13"/>
        <v>0</v>
      </c>
      <c r="O64" s="332"/>
      <c r="P64" s="209"/>
      <c r="Q64" s="209"/>
      <c r="R64" s="345">
        <f t="shared" si="14"/>
        <v>0</v>
      </c>
      <c r="S64" s="215"/>
      <c r="T64" s="211"/>
      <c r="U64" s="211"/>
      <c r="V64" s="433"/>
      <c r="W64" s="431"/>
      <c r="X64" s="209"/>
      <c r="Y64" s="209"/>
      <c r="Z64" s="210">
        <f>X64*Y64</f>
        <v>0</v>
      </c>
      <c r="AA64" s="215"/>
      <c r="AB64" s="211"/>
      <c r="AC64" s="211"/>
      <c r="AD64" s="433"/>
    </row>
    <row r="65" spans="1:30" ht="15.6">
      <c r="A65" s="801"/>
      <c r="B65" s="804"/>
      <c r="C65" s="754"/>
      <c r="D65" s="508"/>
      <c r="E65" s="208"/>
      <c r="F65" s="209"/>
      <c r="G65" s="209"/>
      <c r="H65" s="209"/>
      <c r="I65" s="210"/>
      <c r="J65" s="346"/>
      <c r="K65" s="211"/>
      <c r="L65" s="240"/>
      <c r="M65" s="240"/>
      <c r="N65" s="212">
        <f t="shared" si="13"/>
        <v>0</v>
      </c>
      <c r="O65" s="337"/>
      <c r="P65" s="209"/>
      <c r="Q65" s="209"/>
      <c r="R65" s="345">
        <f t="shared" si="14"/>
        <v>0</v>
      </c>
      <c r="S65" s="215"/>
      <c r="T65" s="211"/>
      <c r="U65" s="211"/>
      <c r="V65" s="433"/>
      <c r="W65" s="431"/>
      <c r="X65" s="209"/>
      <c r="Y65" s="209"/>
      <c r="Z65" s="210"/>
      <c r="AA65" s="215"/>
      <c r="AB65" s="211"/>
      <c r="AC65" s="211"/>
      <c r="AD65" s="433"/>
    </row>
    <row r="66" spans="1:30" ht="15.6">
      <c r="A66" s="801"/>
      <c r="B66" s="804"/>
      <c r="C66" s="754"/>
      <c r="D66" s="508"/>
      <c r="E66" s="208"/>
      <c r="F66" s="209"/>
      <c r="G66" s="209"/>
      <c r="H66" s="209"/>
      <c r="I66" s="210">
        <f>F66*G66*H66</f>
        <v>0</v>
      </c>
      <c r="J66" s="346"/>
      <c r="K66" s="211"/>
      <c r="L66" s="211"/>
      <c r="M66" s="211"/>
      <c r="N66" s="212">
        <f t="shared" si="13"/>
        <v>0</v>
      </c>
      <c r="O66" s="337"/>
      <c r="P66" s="338"/>
      <c r="Q66" s="338"/>
      <c r="R66" s="345">
        <f t="shared" si="14"/>
        <v>0</v>
      </c>
      <c r="S66" s="215"/>
      <c r="T66" s="211"/>
      <c r="U66" s="211"/>
      <c r="V66" s="433">
        <f>S66*T66*U66</f>
        <v>0</v>
      </c>
      <c r="W66" s="431"/>
      <c r="X66" s="209"/>
      <c r="Y66" s="209"/>
      <c r="Z66" s="210">
        <f>W66*X66*Y66</f>
        <v>0</v>
      </c>
      <c r="AA66" s="215"/>
      <c r="AB66" s="211"/>
      <c r="AC66" s="211"/>
      <c r="AD66" s="433">
        <f>AA66*AB66*AC66</f>
        <v>0</v>
      </c>
    </row>
    <row r="67" spans="1:30" ht="15.6" outlineLevel="1">
      <c r="A67" s="801"/>
      <c r="B67" s="805"/>
      <c r="C67" s="755"/>
      <c r="D67" s="509"/>
      <c r="E67" s="208"/>
      <c r="F67" s="209"/>
      <c r="G67" s="209"/>
      <c r="H67" s="209"/>
      <c r="I67" s="210">
        <f>F67*G67*H67</f>
        <v>0</v>
      </c>
      <c r="J67" s="238"/>
      <c r="K67" s="211"/>
      <c r="L67" s="211"/>
      <c r="M67" s="211"/>
      <c r="N67" s="212">
        <f t="shared" si="13"/>
        <v>0</v>
      </c>
      <c r="O67" s="208"/>
      <c r="P67" s="209"/>
      <c r="Q67" s="209"/>
      <c r="R67" s="345">
        <f t="shared" si="14"/>
        <v>0</v>
      </c>
      <c r="S67" s="215"/>
      <c r="T67" s="211"/>
      <c r="U67" s="211"/>
      <c r="V67" s="433">
        <f>S67*T67*U67</f>
        <v>0</v>
      </c>
      <c r="W67" s="431"/>
      <c r="X67" s="209"/>
      <c r="Y67" s="209"/>
      <c r="Z67" s="210">
        <f>W67*X67*Y67</f>
        <v>0</v>
      </c>
      <c r="AA67" s="215"/>
      <c r="AB67" s="211"/>
      <c r="AC67" s="211"/>
      <c r="AD67" s="433">
        <f>AA67*AB67*AC67</f>
        <v>0</v>
      </c>
    </row>
    <row r="68" spans="1:30" ht="16.149999999999999" outlineLevel="1" thickBot="1">
      <c r="A68" s="802"/>
      <c r="B68" s="806"/>
      <c r="C68" s="756"/>
      <c r="D68" s="510"/>
      <c r="E68" s="224"/>
      <c r="F68" s="225"/>
      <c r="G68" s="225"/>
      <c r="H68" s="225"/>
      <c r="I68" s="226">
        <f>F68*G68*H68</f>
        <v>0</v>
      </c>
      <c r="J68" s="228"/>
      <c r="K68" s="228"/>
      <c r="L68" s="228"/>
      <c r="M68" s="228"/>
      <c r="N68" s="229">
        <f t="shared" si="13"/>
        <v>0</v>
      </c>
      <c r="O68" s="224"/>
      <c r="P68" s="225"/>
      <c r="Q68" s="225"/>
      <c r="R68" s="345">
        <f t="shared" si="14"/>
        <v>0</v>
      </c>
      <c r="S68" s="227"/>
      <c r="T68" s="228"/>
      <c r="U68" s="228"/>
      <c r="V68" s="434">
        <f>T68*U68</f>
        <v>0</v>
      </c>
      <c r="W68" s="340"/>
      <c r="X68" s="217"/>
      <c r="Y68" s="217"/>
      <c r="Z68" s="218">
        <f>X68*Y68</f>
        <v>0</v>
      </c>
      <c r="AA68" s="227"/>
      <c r="AB68" s="228"/>
      <c r="AC68" s="228"/>
      <c r="AD68" s="434">
        <f>AB68*AC68</f>
        <v>0</v>
      </c>
    </row>
    <row r="69" spans="1:30" ht="18.600000000000001" hidden="1" thickBot="1">
      <c r="A69" s="487" t="s">
        <v>73</v>
      </c>
      <c r="B69" s="488">
        <f>SUM(B71:B94)</f>
        <v>0</v>
      </c>
      <c r="C69" s="499"/>
      <c r="D69" s="499"/>
      <c r="E69" s="796" t="s">
        <v>74</v>
      </c>
      <c r="F69" s="789"/>
      <c r="G69" s="789"/>
      <c r="H69" s="789"/>
      <c r="I69" s="789"/>
      <c r="J69" s="789"/>
      <c r="K69" s="789"/>
      <c r="L69" s="789"/>
      <c r="M69" s="789"/>
      <c r="N69" s="789"/>
      <c r="O69" s="789"/>
      <c r="P69" s="789"/>
      <c r="Q69" s="789"/>
      <c r="R69" s="789"/>
      <c r="S69" s="789"/>
      <c r="T69" s="789"/>
      <c r="U69" s="789"/>
      <c r="V69" s="789"/>
      <c r="W69" s="789"/>
      <c r="X69" s="789"/>
      <c r="Y69" s="789"/>
      <c r="Z69" s="789"/>
      <c r="AA69" s="1036"/>
      <c r="AB69" s="1036"/>
      <c r="AC69" s="1036"/>
      <c r="AD69" s="1036"/>
    </row>
    <row r="70" spans="1:30" ht="15" hidden="1" thickBot="1">
      <c r="A70" s="261"/>
      <c r="B70" s="262"/>
      <c r="C70" s="262"/>
      <c r="D70" s="262"/>
      <c r="E70" s="262"/>
      <c r="F70" s="262"/>
      <c r="G70" s="262"/>
      <c r="H70" s="262"/>
      <c r="I70" s="262"/>
      <c r="J70" s="262"/>
      <c r="K70" s="262"/>
      <c r="L70" s="262"/>
      <c r="M70" s="262"/>
      <c r="N70" s="262"/>
      <c r="O70" s="262"/>
      <c r="P70" s="262"/>
      <c r="Q70" s="262"/>
      <c r="R70" s="262"/>
      <c r="S70" s="262"/>
      <c r="T70" s="262"/>
      <c r="U70" s="1038"/>
      <c r="V70" s="1037"/>
      <c r="W70" s="1037"/>
      <c r="X70" s="1037"/>
      <c r="Y70" s="1037"/>
      <c r="Z70" s="1037"/>
      <c r="AA70" s="1037"/>
      <c r="AB70" s="1037"/>
      <c r="AC70" s="1037"/>
      <c r="AD70" s="1037"/>
    </row>
    <row r="71" spans="1:30" ht="15" hidden="1" thickBot="1">
      <c r="A71" s="800"/>
      <c r="B71" s="803">
        <f>SUM(I71:I76)+SUM(N71:N76)+SUM(R71:R76)+SUM(V71:V76)+SUM(AD71:AD76)</f>
        <v>0</v>
      </c>
      <c r="C71" s="753"/>
      <c r="D71" s="753"/>
      <c r="E71" s="201"/>
      <c r="F71" s="202"/>
      <c r="G71" s="202"/>
      <c r="H71" s="202"/>
      <c r="I71" s="203">
        <f>F71*G71*H71</f>
        <v>0</v>
      </c>
      <c r="J71" s="246"/>
      <c r="K71" s="204"/>
      <c r="L71" s="239"/>
      <c r="M71" s="239"/>
      <c r="N71" s="205">
        <f t="shared" ref="N71:N76" si="15">K71*L71*M71</f>
        <v>0</v>
      </c>
      <c r="O71" s="201"/>
      <c r="P71" s="202"/>
      <c r="Q71" s="202"/>
      <c r="R71" s="203">
        <f t="shared" ref="R71:R94" si="16">P71*Q71</f>
        <v>0</v>
      </c>
      <c r="S71" s="206"/>
      <c r="T71" s="204"/>
      <c r="U71" s="204"/>
      <c r="V71" s="432">
        <f>T71*U71</f>
        <v>0</v>
      </c>
      <c r="W71" s="430"/>
      <c r="X71" s="202"/>
      <c r="Y71" s="202"/>
      <c r="Z71" s="203">
        <f>X71*Y71</f>
        <v>0</v>
      </c>
      <c r="AA71" s="206"/>
      <c r="AB71" s="204"/>
      <c r="AC71" s="204"/>
      <c r="AD71" s="432">
        <f>AB71*AC71</f>
        <v>0</v>
      </c>
    </row>
    <row r="72" spans="1:30" ht="16.149999999999999" hidden="1" thickBot="1">
      <c r="A72" s="801"/>
      <c r="B72" s="804"/>
      <c r="C72" s="754"/>
      <c r="D72" s="754"/>
      <c r="E72" s="208"/>
      <c r="F72" s="209"/>
      <c r="G72" s="209"/>
      <c r="H72" s="209"/>
      <c r="I72" s="210">
        <f>F72*G72*H72</f>
        <v>0</v>
      </c>
      <c r="J72" s="238"/>
      <c r="K72" s="211"/>
      <c r="L72" s="240"/>
      <c r="M72" s="240"/>
      <c r="N72" s="212">
        <f t="shared" si="15"/>
        <v>0</v>
      </c>
      <c r="O72" s="332"/>
      <c r="P72" s="209"/>
      <c r="Q72" s="209"/>
      <c r="R72" s="345">
        <f t="shared" si="16"/>
        <v>0</v>
      </c>
      <c r="S72" s="215"/>
      <c r="T72" s="211"/>
      <c r="U72" s="211"/>
      <c r="V72" s="433"/>
      <c r="W72" s="431"/>
      <c r="X72" s="209"/>
      <c r="Y72" s="209"/>
      <c r="Z72" s="210">
        <f>X72*Y72</f>
        <v>0</v>
      </c>
      <c r="AA72" s="215"/>
      <c r="AB72" s="211"/>
      <c r="AC72" s="211"/>
      <c r="AD72" s="433"/>
    </row>
    <row r="73" spans="1:30" ht="16.149999999999999" hidden="1" thickBot="1">
      <c r="A73" s="801"/>
      <c r="B73" s="804"/>
      <c r="C73" s="754"/>
      <c r="D73" s="754"/>
      <c r="E73" s="208"/>
      <c r="F73" s="209"/>
      <c r="G73" s="209"/>
      <c r="H73" s="209"/>
      <c r="I73" s="210"/>
      <c r="J73" s="346"/>
      <c r="K73" s="211"/>
      <c r="L73" s="240"/>
      <c r="M73" s="240"/>
      <c r="N73" s="212">
        <f t="shared" si="15"/>
        <v>0</v>
      </c>
      <c r="O73" s="337"/>
      <c r="P73" s="209"/>
      <c r="Q73" s="209"/>
      <c r="R73" s="345">
        <f t="shared" si="16"/>
        <v>0</v>
      </c>
      <c r="S73" s="215"/>
      <c r="T73" s="211"/>
      <c r="U73" s="211"/>
      <c r="V73" s="433"/>
      <c r="W73" s="431"/>
      <c r="X73" s="209"/>
      <c r="Y73" s="209"/>
      <c r="Z73" s="210"/>
      <c r="AA73" s="215"/>
      <c r="AB73" s="211"/>
      <c r="AC73" s="211"/>
      <c r="AD73" s="433"/>
    </row>
    <row r="74" spans="1:30" ht="16.149999999999999" hidden="1" thickBot="1">
      <c r="A74" s="801"/>
      <c r="B74" s="804"/>
      <c r="C74" s="754"/>
      <c r="D74" s="754"/>
      <c r="E74" s="208"/>
      <c r="F74" s="209"/>
      <c r="G74" s="209"/>
      <c r="H74" s="209"/>
      <c r="I74" s="210">
        <f>F74*G74*H74</f>
        <v>0</v>
      </c>
      <c r="J74" s="346"/>
      <c r="K74" s="211"/>
      <c r="L74" s="211"/>
      <c r="M74" s="211"/>
      <c r="N74" s="212">
        <f t="shared" si="15"/>
        <v>0</v>
      </c>
      <c r="O74" s="337"/>
      <c r="P74" s="338"/>
      <c r="Q74" s="338"/>
      <c r="R74" s="345">
        <f t="shared" si="16"/>
        <v>0</v>
      </c>
      <c r="S74" s="215"/>
      <c r="T74" s="211"/>
      <c r="U74" s="211"/>
      <c r="V74" s="433">
        <f>S74*T74*U74</f>
        <v>0</v>
      </c>
      <c r="W74" s="431"/>
      <c r="X74" s="209"/>
      <c r="Y74" s="209"/>
      <c r="Z74" s="210">
        <f>W74*X74*Y74</f>
        <v>0</v>
      </c>
      <c r="AA74" s="215"/>
      <c r="AB74" s="211"/>
      <c r="AC74" s="211"/>
      <c r="AD74" s="433">
        <f>AA74*AB74*AC74</f>
        <v>0</v>
      </c>
    </row>
    <row r="75" spans="1:30" ht="16.149999999999999" hidden="1" outlineLevel="1" thickBot="1">
      <c r="A75" s="801"/>
      <c r="B75" s="805"/>
      <c r="C75" s="755"/>
      <c r="D75" s="755"/>
      <c r="E75" s="208"/>
      <c r="F75" s="209"/>
      <c r="G75" s="209"/>
      <c r="H75" s="209"/>
      <c r="I75" s="210">
        <f>F75*G75*H75</f>
        <v>0</v>
      </c>
      <c r="J75" s="238"/>
      <c r="K75" s="211"/>
      <c r="L75" s="211"/>
      <c r="M75" s="211"/>
      <c r="N75" s="212">
        <f t="shared" si="15"/>
        <v>0</v>
      </c>
      <c r="O75" s="208"/>
      <c r="P75" s="209"/>
      <c r="Q75" s="209"/>
      <c r="R75" s="345">
        <f t="shared" si="16"/>
        <v>0</v>
      </c>
      <c r="S75" s="215"/>
      <c r="T75" s="211"/>
      <c r="U75" s="211"/>
      <c r="V75" s="433">
        <f>S75*T75*U75</f>
        <v>0</v>
      </c>
      <c r="W75" s="431"/>
      <c r="X75" s="209"/>
      <c r="Y75" s="209"/>
      <c r="Z75" s="210">
        <f>W75*X75*Y75</f>
        <v>0</v>
      </c>
      <c r="AA75" s="215"/>
      <c r="AB75" s="211"/>
      <c r="AC75" s="211"/>
      <c r="AD75" s="433">
        <f>AA75*AB75*AC75</f>
        <v>0</v>
      </c>
    </row>
    <row r="76" spans="1:30" ht="16.149999999999999" hidden="1" outlineLevel="1" thickBot="1">
      <c r="A76" s="802"/>
      <c r="B76" s="806"/>
      <c r="C76" s="756"/>
      <c r="D76" s="756"/>
      <c r="E76" s="224"/>
      <c r="F76" s="225"/>
      <c r="G76" s="225"/>
      <c r="H76" s="225"/>
      <c r="I76" s="226">
        <f>F76*G76*H76</f>
        <v>0</v>
      </c>
      <c r="J76" s="228"/>
      <c r="K76" s="228"/>
      <c r="L76" s="228"/>
      <c r="M76" s="228"/>
      <c r="N76" s="229">
        <f t="shared" si="15"/>
        <v>0</v>
      </c>
      <c r="O76" s="224"/>
      <c r="P76" s="225"/>
      <c r="Q76" s="225"/>
      <c r="R76" s="345">
        <f t="shared" si="16"/>
        <v>0</v>
      </c>
      <c r="S76" s="227"/>
      <c r="T76" s="228"/>
      <c r="U76" s="228"/>
      <c r="V76" s="434">
        <f>T76*U76</f>
        <v>0</v>
      </c>
      <c r="W76" s="340"/>
      <c r="X76" s="217"/>
      <c r="Y76" s="217"/>
      <c r="Z76" s="218">
        <f>X76*Y76</f>
        <v>0</v>
      </c>
      <c r="AA76" s="227"/>
      <c r="AB76" s="228"/>
      <c r="AC76" s="228"/>
      <c r="AD76" s="434">
        <f>AB76*AC76</f>
        <v>0</v>
      </c>
    </row>
    <row r="77" spans="1:30" ht="15" hidden="1" collapsed="1" thickBot="1">
      <c r="A77" s="800"/>
      <c r="B77" s="803">
        <f>SUM(I77:I82)+SUM(N77:N82)+SUM(R77:R82)+SUM(V77:V82)+SUM(AD77:AD82)</f>
        <v>0</v>
      </c>
      <c r="C77" s="753"/>
      <c r="D77" s="753"/>
      <c r="E77" s="201"/>
      <c r="F77" s="202"/>
      <c r="G77" s="202"/>
      <c r="H77" s="202"/>
      <c r="I77" s="203">
        <f>F77*G77*H77</f>
        <v>0</v>
      </c>
      <c r="J77" s="246"/>
      <c r="K77" s="204"/>
      <c r="L77" s="239"/>
      <c r="M77" s="239"/>
      <c r="N77" s="205">
        <f t="shared" ref="N77:N82" si="17">K77*L77*M77</f>
        <v>0</v>
      </c>
      <c r="O77" s="201"/>
      <c r="P77" s="202"/>
      <c r="Q77" s="202"/>
      <c r="R77" s="203">
        <f t="shared" si="16"/>
        <v>0</v>
      </c>
      <c r="S77" s="206"/>
      <c r="T77" s="204"/>
      <c r="U77" s="204"/>
      <c r="V77" s="432">
        <f>T77*U77</f>
        <v>0</v>
      </c>
      <c r="W77" s="430"/>
      <c r="X77" s="202"/>
      <c r="Y77" s="202"/>
      <c r="Z77" s="203">
        <f>X77*Y77</f>
        <v>0</v>
      </c>
      <c r="AA77" s="206"/>
      <c r="AB77" s="204"/>
      <c r="AC77" s="204"/>
      <c r="AD77" s="432">
        <f>AB77*AC77</f>
        <v>0</v>
      </c>
    </row>
    <row r="78" spans="1:30" ht="16.149999999999999" hidden="1" thickBot="1">
      <c r="A78" s="801"/>
      <c r="B78" s="804"/>
      <c r="C78" s="754"/>
      <c r="D78" s="754"/>
      <c r="E78" s="208"/>
      <c r="F78" s="209"/>
      <c r="G78" s="209"/>
      <c r="H78" s="209"/>
      <c r="I78" s="210">
        <f>F78*G78*H78</f>
        <v>0</v>
      </c>
      <c r="J78" s="238"/>
      <c r="K78" s="211"/>
      <c r="L78" s="240"/>
      <c r="M78" s="240"/>
      <c r="N78" s="212">
        <f t="shared" si="17"/>
        <v>0</v>
      </c>
      <c r="O78" s="332"/>
      <c r="P78" s="209"/>
      <c r="Q78" s="209"/>
      <c r="R78" s="345">
        <f t="shared" si="16"/>
        <v>0</v>
      </c>
      <c r="S78" s="215"/>
      <c r="T78" s="211"/>
      <c r="U78" s="211"/>
      <c r="V78" s="433"/>
      <c r="W78" s="431"/>
      <c r="X78" s="209"/>
      <c r="Y78" s="209"/>
      <c r="Z78" s="210">
        <f>X78*Y78</f>
        <v>0</v>
      </c>
      <c r="AA78" s="215"/>
      <c r="AB78" s="211"/>
      <c r="AC78" s="211"/>
      <c r="AD78" s="433"/>
    </row>
    <row r="79" spans="1:30" ht="16.149999999999999" hidden="1" thickBot="1">
      <c r="A79" s="801"/>
      <c r="B79" s="804"/>
      <c r="C79" s="754"/>
      <c r="D79" s="754"/>
      <c r="E79" s="208"/>
      <c r="F79" s="209"/>
      <c r="G79" s="209"/>
      <c r="H79" s="209"/>
      <c r="I79" s="210"/>
      <c r="J79" s="346"/>
      <c r="K79" s="211"/>
      <c r="L79" s="240"/>
      <c r="M79" s="240"/>
      <c r="N79" s="212">
        <f t="shared" si="17"/>
        <v>0</v>
      </c>
      <c r="O79" s="337"/>
      <c r="P79" s="209"/>
      <c r="Q79" s="209"/>
      <c r="R79" s="345">
        <f t="shared" si="16"/>
        <v>0</v>
      </c>
      <c r="S79" s="215"/>
      <c r="T79" s="211"/>
      <c r="U79" s="211"/>
      <c r="V79" s="433"/>
      <c r="W79" s="431"/>
      <c r="X79" s="209"/>
      <c r="Y79" s="209"/>
      <c r="Z79" s="210"/>
      <c r="AA79" s="215"/>
      <c r="AB79" s="211"/>
      <c r="AC79" s="211"/>
      <c r="AD79" s="433"/>
    </row>
    <row r="80" spans="1:30" ht="16.149999999999999" hidden="1" thickBot="1">
      <c r="A80" s="801"/>
      <c r="B80" s="804"/>
      <c r="C80" s="754"/>
      <c r="D80" s="754"/>
      <c r="E80" s="208"/>
      <c r="F80" s="209"/>
      <c r="G80" s="209"/>
      <c r="H80" s="209"/>
      <c r="I80" s="210">
        <f>F80*G80*H80</f>
        <v>0</v>
      </c>
      <c r="J80" s="346"/>
      <c r="K80" s="211"/>
      <c r="L80" s="211"/>
      <c r="M80" s="211"/>
      <c r="N80" s="212">
        <f t="shared" si="17"/>
        <v>0</v>
      </c>
      <c r="O80" s="337"/>
      <c r="P80" s="338"/>
      <c r="Q80" s="338"/>
      <c r="R80" s="345">
        <f t="shared" si="16"/>
        <v>0</v>
      </c>
      <c r="S80" s="215"/>
      <c r="T80" s="211"/>
      <c r="U80" s="211"/>
      <c r="V80" s="433">
        <f>S80*T80*U80</f>
        <v>0</v>
      </c>
      <c r="W80" s="431"/>
      <c r="X80" s="209"/>
      <c r="Y80" s="209"/>
      <c r="Z80" s="210">
        <f>W80*X80*Y80</f>
        <v>0</v>
      </c>
      <c r="AA80" s="215"/>
      <c r="AB80" s="211"/>
      <c r="AC80" s="211"/>
      <c r="AD80" s="433">
        <f>AA80*AB80*AC80</f>
        <v>0</v>
      </c>
    </row>
    <row r="81" spans="1:30" ht="16.149999999999999" hidden="1" outlineLevel="1" thickBot="1">
      <c r="A81" s="801"/>
      <c r="B81" s="805"/>
      <c r="C81" s="755"/>
      <c r="D81" s="755"/>
      <c r="E81" s="208"/>
      <c r="F81" s="209"/>
      <c r="G81" s="209"/>
      <c r="H81" s="209"/>
      <c r="I81" s="210">
        <f>F81*G81*H81</f>
        <v>0</v>
      </c>
      <c r="J81" s="238"/>
      <c r="K81" s="211"/>
      <c r="L81" s="211"/>
      <c r="M81" s="211"/>
      <c r="N81" s="212">
        <f t="shared" si="17"/>
        <v>0</v>
      </c>
      <c r="O81" s="208"/>
      <c r="P81" s="209"/>
      <c r="Q81" s="209"/>
      <c r="R81" s="345">
        <f t="shared" si="16"/>
        <v>0</v>
      </c>
      <c r="S81" s="215"/>
      <c r="T81" s="211"/>
      <c r="U81" s="211"/>
      <c r="V81" s="433">
        <f>S81*T81*U81</f>
        <v>0</v>
      </c>
      <c r="W81" s="431"/>
      <c r="X81" s="209"/>
      <c r="Y81" s="209"/>
      <c r="Z81" s="210">
        <f>W81*X81*Y81</f>
        <v>0</v>
      </c>
      <c r="AA81" s="215"/>
      <c r="AB81" s="211"/>
      <c r="AC81" s="211"/>
      <c r="AD81" s="433">
        <f>AA81*AB81*AC81</f>
        <v>0</v>
      </c>
    </row>
    <row r="82" spans="1:30" ht="16.149999999999999" hidden="1" outlineLevel="1" thickBot="1">
      <c r="A82" s="802"/>
      <c r="B82" s="806"/>
      <c r="C82" s="756"/>
      <c r="D82" s="756"/>
      <c r="E82" s="224"/>
      <c r="F82" s="225"/>
      <c r="G82" s="225"/>
      <c r="H82" s="225"/>
      <c r="I82" s="226">
        <f>F82*G82*H82</f>
        <v>0</v>
      </c>
      <c r="J82" s="228"/>
      <c r="K82" s="228"/>
      <c r="L82" s="228"/>
      <c r="M82" s="228"/>
      <c r="N82" s="229">
        <f t="shared" si="17"/>
        <v>0</v>
      </c>
      <c r="O82" s="224"/>
      <c r="P82" s="225"/>
      <c r="Q82" s="225"/>
      <c r="R82" s="345">
        <f t="shared" si="16"/>
        <v>0</v>
      </c>
      <c r="S82" s="227"/>
      <c r="T82" s="228"/>
      <c r="U82" s="228"/>
      <c r="V82" s="434">
        <f>T82*U82</f>
        <v>0</v>
      </c>
      <c r="W82" s="340"/>
      <c r="X82" s="217"/>
      <c r="Y82" s="217"/>
      <c r="Z82" s="218">
        <f>X82*Y82</f>
        <v>0</v>
      </c>
      <c r="AA82" s="227"/>
      <c r="AB82" s="228"/>
      <c r="AC82" s="228"/>
      <c r="AD82" s="434">
        <f>AB82*AC82</f>
        <v>0</v>
      </c>
    </row>
    <row r="83" spans="1:30" ht="15" hidden="1" collapsed="1" thickBot="1">
      <c r="A83" s="800"/>
      <c r="B83" s="803">
        <f>SUM(I83:I88)+SUM(N83:N88)+SUM(R83:R88)+SUM(V83:V88)+SUM(AD83:AD88)</f>
        <v>0</v>
      </c>
      <c r="C83" s="753"/>
      <c r="D83" s="753"/>
      <c r="E83" s="201"/>
      <c r="F83" s="202"/>
      <c r="G83" s="202"/>
      <c r="H83" s="202"/>
      <c r="I83" s="203">
        <f>F83*G83*H83</f>
        <v>0</v>
      </c>
      <c r="J83" s="246"/>
      <c r="K83" s="204"/>
      <c r="L83" s="239"/>
      <c r="M83" s="239"/>
      <c r="N83" s="205">
        <f t="shared" ref="N83:N88" si="18">K83*L83*M83</f>
        <v>0</v>
      </c>
      <c r="O83" s="201"/>
      <c r="P83" s="202"/>
      <c r="Q83" s="202"/>
      <c r="R83" s="203">
        <f t="shared" si="16"/>
        <v>0</v>
      </c>
      <c r="S83" s="206"/>
      <c r="T83" s="204"/>
      <c r="U83" s="204"/>
      <c r="V83" s="432">
        <f>T83*U83</f>
        <v>0</v>
      </c>
      <c r="W83" s="430"/>
      <c r="X83" s="202"/>
      <c r="Y83" s="202"/>
      <c r="Z83" s="203">
        <f>X83*Y83</f>
        <v>0</v>
      </c>
      <c r="AA83" s="206"/>
      <c r="AB83" s="204"/>
      <c r="AC83" s="204"/>
      <c r="AD83" s="432">
        <f>AB83*AC83</f>
        <v>0</v>
      </c>
    </row>
    <row r="84" spans="1:30" ht="16.149999999999999" hidden="1" thickBot="1">
      <c r="A84" s="801"/>
      <c r="B84" s="804"/>
      <c r="C84" s="754"/>
      <c r="D84" s="754"/>
      <c r="E84" s="208"/>
      <c r="F84" s="209"/>
      <c r="G84" s="209"/>
      <c r="H84" s="209"/>
      <c r="I84" s="210">
        <f>F84*G84*H84</f>
        <v>0</v>
      </c>
      <c r="J84" s="238"/>
      <c r="K84" s="211"/>
      <c r="L84" s="240"/>
      <c r="M84" s="240"/>
      <c r="N84" s="212">
        <f t="shared" si="18"/>
        <v>0</v>
      </c>
      <c r="O84" s="332"/>
      <c r="P84" s="209"/>
      <c r="Q84" s="209"/>
      <c r="R84" s="345">
        <f t="shared" si="16"/>
        <v>0</v>
      </c>
      <c r="S84" s="215"/>
      <c r="T84" s="211"/>
      <c r="U84" s="211"/>
      <c r="V84" s="433"/>
      <c r="W84" s="431"/>
      <c r="X84" s="209"/>
      <c r="Y84" s="209"/>
      <c r="Z84" s="210">
        <f>X84*Y84</f>
        <v>0</v>
      </c>
      <c r="AA84" s="215"/>
      <c r="AB84" s="211"/>
      <c r="AC84" s="211"/>
      <c r="AD84" s="433"/>
    </row>
    <row r="85" spans="1:30" ht="16.149999999999999" hidden="1" thickBot="1">
      <c r="A85" s="801"/>
      <c r="B85" s="804"/>
      <c r="C85" s="754"/>
      <c r="D85" s="754"/>
      <c r="E85" s="208"/>
      <c r="F85" s="209"/>
      <c r="G85" s="209"/>
      <c r="H85" s="209"/>
      <c r="I85" s="210"/>
      <c r="J85" s="346"/>
      <c r="K85" s="211"/>
      <c r="L85" s="240"/>
      <c r="M85" s="240"/>
      <c r="N85" s="212">
        <f t="shared" si="18"/>
        <v>0</v>
      </c>
      <c r="O85" s="337"/>
      <c r="P85" s="209"/>
      <c r="Q85" s="209"/>
      <c r="R85" s="345">
        <f t="shared" si="16"/>
        <v>0</v>
      </c>
      <c r="S85" s="215"/>
      <c r="T85" s="211"/>
      <c r="U85" s="211"/>
      <c r="V85" s="433"/>
      <c r="W85" s="431"/>
      <c r="X85" s="209"/>
      <c r="Y85" s="209"/>
      <c r="Z85" s="210"/>
      <c r="AA85" s="215"/>
      <c r="AB85" s="211"/>
      <c r="AC85" s="211"/>
      <c r="AD85" s="433"/>
    </row>
    <row r="86" spans="1:30" ht="16.149999999999999" hidden="1" thickBot="1">
      <c r="A86" s="801"/>
      <c r="B86" s="804"/>
      <c r="C86" s="754"/>
      <c r="D86" s="754"/>
      <c r="E86" s="208"/>
      <c r="F86" s="209"/>
      <c r="G86" s="209"/>
      <c r="H86" s="209"/>
      <c r="I86" s="210">
        <f>F86*G86*H86</f>
        <v>0</v>
      </c>
      <c r="J86" s="346"/>
      <c r="K86" s="211"/>
      <c r="L86" s="211"/>
      <c r="M86" s="211"/>
      <c r="N86" s="212">
        <f t="shared" si="18"/>
        <v>0</v>
      </c>
      <c r="O86" s="337"/>
      <c r="P86" s="338"/>
      <c r="Q86" s="338"/>
      <c r="R86" s="345">
        <f t="shared" si="16"/>
        <v>0</v>
      </c>
      <c r="S86" s="215"/>
      <c r="T86" s="211"/>
      <c r="U86" s="211"/>
      <c r="V86" s="433">
        <f>S86*T86*U86</f>
        <v>0</v>
      </c>
      <c r="W86" s="431"/>
      <c r="X86" s="209"/>
      <c r="Y86" s="209"/>
      <c r="Z86" s="210">
        <f>W86*X86*Y86</f>
        <v>0</v>
      </c>
      <c r="AA86" s="215"/>
      <c r="AB86" s="211"/>
      <c r="AC86" s="211"/>
      <c r="AD86" s="433">
        <f>AA86*AB86*AC86</f>
        <v>0</v>
      </c>
    </row>
    <row r="87" spans="1:30" ht="16.149999999999999" hidden="1" outlineLevel="1" thickBot="1">
      <c r="A87" s="801"/>
      <c r="B87" s="805"/>
      <c r="C87" s="755"/>
      <c r="D87" s="755"/>
      <c r="E87" s="208"/>
      <c r="F87" s="209"/>
      <c r="G87" s="209"/>
      <c r="H87" s="209"/>
      <c r="I87" s="210">
        <f>F87*G87*H87</f>
        <v>0</v>
      </c>
      <c r="J87" s="238"/>
      <c r="K87" s="211"/>
      <c r="L87" s="211"/>
      <c r="M87" s="211"/>
      <c r="N87" s="212">
        <f t="shared" si="18"/>
        <v>0</v>
      </c>
      <c r="O87" s="208"/>
      <c r="P87" s="209"/>
      <c r="Q87" s="209"/>
      <c r="R87" s="345">
        <f t="shared" si="16"/>
        <v>0</v>
      </c>
      <c r="S87" s="215"/>
      <c r="T87" s="211"/>
      <c r="U87" s="211"/>
      <c r="V87" s="433">
        <f>S87*T87*U87</f>
        <v>0</v>
      </c>
      <c r="W87" s="431"/>
      <c r="X87" s="209"/>
      <c r="Y87" s="209"/>
      <c r="Z87" s="210">
        <f>W87*X87*Y87</f>
        <v>0</v>
      </c>
      <c r="AA87" s="215"/>
      <c r="AB87" s="211"/>
      <c r="AC87" s="211"/>
      <c r="AD87" s="433">
        <f>AA87*AB87*AC87</f>
        <v>0</v>
      </c>
    </row>
    <row r="88" spans="1:30" ht="16.149999999999999" hidden="1" outlineLevel="1" thickBot="1">
      <c r="A88" s="802"/>
      <c r="B88" s="806"/>
      <c r="C88" s="756"/>
      <c r="D88" s="756"/>
      <c r="E88" s="224"/>
      <c r="F88" s="225"/>
      <c r="G88" s="225"/>
      <c r="H88" s="225"/>
      <c r="I88" s="226">
        <f>F88*G88*H88</f>
        <v>0</v>
      </c>
      <c r="J88" s="228"/>
      <c r="K88" s="228"/>
      <c r="L88" s="228"/>
      <c r="M88" s="228"/>
      <c r="N88" s="229">
        <f t="shared" si="18"/>
        <v>0</v>
      </c>
      <c r="O88" s="224"/>
      <c r="P88" s="225"/>
      <c r="Q88" s="225"/>
      <c r="R88" s="345">
        <f t="shared" si="16"/>
        <v>0</v>
      </c>
      <c r="S88" s="227"/>
      <c r="T88" s="228"/>
      <c r="U88" s="228"/>
      <c r="V88" s="434">
        <f>T88*U88</f>
        <v>0</v>
      </c>
      <c r="W88" s="340"/>
      <c r="X88" s="217"/>
      <c r="Y88" s="217"/>
      <c r="Z88" s="218">
        <f>X88*Y88</f>
        <v>0</v>
      </c>
      <c r="AA88" s="227"/>
      <c r="AB88" s="228"/>
      <c r="AC88" s="228"/>
      <c r="AD88" s="434">
        <f>AB88*AC88</f>
        <v>0</v>
      </c>
    </row>
    <row r="89" spans="1:30" ht="15" hidden="1" collapsed="1" thickBot="1">
      <c r="A89" s="800"/>
      <c r="B89" s="803">
        <f>SUM(I89:I94)+SUM(N89:N94)+SUM(R89:R94)+SUM(V89:V94)+SUM(AD89:AD94)</f>
        <v>0</v>
      </c>
      <c r="C89" s="753"/>
      <c r="D89" s="753"/>
      <c r="E89" s="201"/>
      <c r="F89" s="202"/>
      <c r="G89" s="202"/>
      <c r="H89" s="202"/>
      <c r="I89" s="203">
        <f>F89*G89*H89</f>
        <v>0</v>
      </c>
      <c r="J89" s="246"/>
      <c r="K89" s="204"/>
      <c r="L89" s="239"/>
      <c r="M89" s="239"/>
      <c r="N89" s="205">
        <f t="shared" ref="N89:N94" si="19">K89*L89*M89</f>
        <v>0</v>
      </c>
      <c r="O89" s="201"/>
      <c r="P89" s="202"/>
      <c r="Q89" s="202"/>
      <c r="R89" s="203">
        <f t="shared" si="16"/>
        <v>0</v>
      </c>
      <c r="S89" s="206"/>
      <c r="T89" s="204"/>
      <c r="U89" s="204"/>
      <c r="V89" s="432">
        <f>T89*U89</f>
        <v>0</v>
      </c>
      <c r="W89" s="430"/>
      <c r="X89" s="202"/>
      <c r="Y89" s="202"/>
      <c r="Z89" s="203">
        <f>X89*Y89</f>
        <v>0</v>
      </c>
      <c r="AA89" s="206"/>
      <c r="AB89" s="204"/>
      <c r="AC89" s="204"/>
      <c r="AD89" s="432">
        <f>AB89*AC89</f>
        <v>0</v>
      </c>
    </row>
    <row r="90" spans="1:30" ht="16.149999999999999" hidden="1" thickBot="1">
      <c r="A90" s="801"/>
      <c r="B90" s="804"/>
      <c r="C90" s="754"/>
      <c r="D90" s="754"/>
      <c r="E90" s="208"/>
      <c r="F90" s="209"/>
      <c r="G90" s="209"/>
      <c r="H90" s="209"/>
      <c r="I90" s="210">
        <f>F90*G90*H90</f>
        <v>0</v>
      </c>
      <c r="J90" s="238"/>
      <c r="K90" s="211"/>
      <c r="L90" s="240"/>
      <c r="M90" s="240"/>
      <c r="N90" s="212">
        <f t="shared" si="19"/>
        <v>0</v>
      </c>
      <c r="O90" s="332"/>
      <c r="P90" s="209"/>
      <c r="Q90" s="209"/>
      <c r="R90" s="345">
        <f t="shared" si="16"/>
        <v>0</v>
      </c>
      <c r="S90" s="215"/>
      <c r="T90" s="211"/>
      <c r="U90" s="211"/>
      <c r="V90" s="433"/>
      <c r="W90" s="431"/>
      <c r="X90" s="209"/>
      <c r="Y90" s="209"/>
      <c r="Z90" s="210">
        <f>X90*Y90</f>
        <v>0</v>
      </c>
      <c r="AA90" s="215"/>
      <c r="AB90" s="211"/>
      <c r="AC90" s="211"/>
      <c r="AD90" s="433"/>
    </row>
    <row r="91" spans="1:30" ht="16.149999999999999" hidden="1" thickBot="1">
      <c r="A91" s="801"/>
      <c r="B91" s="804"/>
      <c r="C91" s="754"/>
      <c r="D91" s="754"/>
      <c r="E91" s="208"/>
      <c r="F91" s="209"/>
      <c r="G91" s="209"/>
      <c r="H91" s="209"/>
      <c r="I91" s="210"/>
      <c r="J91" s="346"/>
      <c r="K91" s="211"/>
      <c r="L91" s="240"/>
      <c r="M91" s="240"/>
      <c r="N91" s="212">
        <f t="shared" si="19"/>
        <v>0</v>
      </c>
      <c r="O91" s="337"/>
      <c r="P91" s="209"/>
      <c r="Q91" s="209"/>
      <c r="R91" s="345">
        <f t="shared" si="16"/>
        <v>0</v>
      </c>
      <c r="S91" s="215"/>
      <c r="T91" s="211"/>
      <c r="U91" s="211"/>
      <c r="V91" s="433"/>
      <c r="W91" s="431"/>
      <c r="X91" s="209"/>
      <c r="Y91" s="209"/>
      <c r="Z91" s="210"/>
      <c r="AA91" s="215"/>
      <c r="AB91" s="211"/>
      <c r="AC91" s="211"/>
      <c r="AD91" s="433"/>
    </row>
    <row r="92" spans="1:30" ht="16.149999999999999" hidden="1" thickBot="1">
      <c r="A92" s="801"/>
      <c r="B92" s="804"/>
      <c r="C92" s="754"/>
      <c r="D92" s="754"/>
      <c r="E92" s="208"/>
      <c r="F92" s="209"/>
      <c r="G92" s="209"/>
      <c r="H92" s="209"/>
      <c r="I92" s="210">
        <f>F92*G92*H92</f>
        <v>0</v>
      </c>
      <c r="J92" s="346"/>
      <c r="K92" s="211"/>
      <c r="L92" s="211"/>
      <c r="M92" s="211"/>
      <c r="N92" s="212">
        <f t="shared" si="19"/>
        <v>0</v>
      </c>
      <c r="O92" s="337"/>
      <c r="P92" s="338"/>
      <c r="Q92" s="338"/>
      <c r="R92" s="345">
        <f t="shared" si="16"/>
        <v>0</v>
      </c>
      <c r="S92" s="215"/>
      <c r="T92" s="211"/>
      <c r="U92" s="211"/>
      <c r="V92" s="433">
        <f>S92*T92*U92</f>
        <v>0</v>
      </c>
      <c r="W92" s="431"/>
      <c r="X92" s="209"/>
      <c r="Y92" s="209"/>
      <c r="Z92" s="210">
        <f>W92*X92*Y92</f>
        <v>0</v>
      </c>
      <c r="AA92" s="215"/>
      <c r="AB92" s="211"/>
      <c r="AC92" s="211"/>
      <c r="AD92" s="433">
        <f>AA92*AB92*AC92</f>
        <v>0</v>
      </c>
    </row>
    <row r="93" spans="1:30" ht="16.149999999999999" hidden="1" outlineLevel="1" thickBot="1">
      <c r="A93" s="801"/>
      <c r="B93" s="805"/>
      <c r="C93" s="755"/>
      <c r="D93" s="755"/>
      <c r="E93" s="208"/>
      <c r="F93" s="209"/>
      <c r="G93" s="209"/>
      <c r="H93" s="209"/>
      <c r="I93" s="210">
        <f>F93*G93*H93</f>
        <v>0</v>
      </c>
      <c r="J93" s="238"/>
      <c r="K93" s="211"/>
      <c r="L93" s="211"/>
      <c r="M93" s="211"/>
      <c r="N93" s="212">
        <f t="shared" si="19"/>
        <v>0</v>
      </c>
      <c r="O93" s="208"/>
      <c r="P93" s="209"/>
      <c r="Q93" s="209"/>
      <c r="R93" s="345">
        <f t="shared" si="16"/>
        <v>0</v>
      </c>
      <c r="S93" s="215"/>
      <c r="T93" s="211"/>
      <c r="U93" s="211"/>
      <c r="V93" s="433">
        <f>S93*T93*U93</f>
        <v>0</v>
      </c>
      <c r="W93" s="431"/>
      <c r="X93" s="209"/>
      <c r="Y93" s="209"/>
      <c r="Z93" s="210">
        <f>W93*X93*Y93</f>
        <v>0</v>
      </c>
      <c r="AA93" s="215"/>
      <c r="AB93" s="211"/>
      <c r="AC93" s="211"/>
      <c r="AD93" s="433">
        <f>AA93*AB93*AC93</f>
        <v>0</v>
      </c>
    </row>
    <row r="94" spans="1:30" ht="16.149999999999999" hidden="1" outlineLevel="1" thickBot="1">
      <c r="A94" s="802"/>
      <c r="B94" s="806"/>
      <c r="C94" s="756"/>
      <c r="D94" s="756"/>
      <c r="E94" s="224"/>
      <c r="F94" s="225"/>
      <c r="G94" s="225"/>
      <c r="H94" s="225"/>
      <c r="I94" s="226">
        <f>F94*G94*H94</f>
        <v>0</v>
      </c>
      <c r="J94" s="228"/>
      <c r="K94" s="228"/>
      <c r="L94" s="228"/>
      <c r="M94" s="228"/>
      <c r="N94" s="229">
        <f t="shared" si="19"/>
        <v>0</v>
      </c>
      <c r="O94" s="224"/>
      <c r="P94" s="225"/>
      <c r="Q94" s="225"/>
      <c r="R94" s="345">
        <f t="shared" si="16"/>
        <v>0</v>
      </c>
      <c r="S94" s="227"/>
      <c r="T94" s="228"/>
      <c r="U94" s="228"/>
      <c r="V94" s="434">
        <f>T94*U94</f>
        <v>0</v>
      </c>
      <c r="W94" s="340"/>
      <c r="X94" s="217"/>
      <c r="Y94" s="217"/>
      <c r="Z94" s="218">
        <f>X94*Y94</f>
        <v>0</v>
      </c>
      <c r="AA94" s="227"/>
      <c r="AB94" s="228"/>
      <c r="AC94" s="228"/>
      <c r="AD94" s="434">
        <f>AB94*AC94</f>
        <v>0</v>
      </c>
    </row>
    <row r="95" spans="1:30" ht="42" customHeight="1" collapsed="1">
      <c r="A95" s="496" t="s">
        <v>75</v>
      </c>
      <c r="B95" s="497" t="e">
        <f>SUM(B97:B117)</f>
        <v>#REF!</v>
      </c>
      <c r="C95" s="500"/>
      <c r="D95" s="500">
        <v>9702487</v>
      </c>
      <c r="E95" s="810" t="s">
        <v>76</v>
      </c>
      <c r="F95" s="811"/>
      <c r="G95" s="811"/>
      <c r="H95" s="811"/>
      <c r="I95" s="811"/>
      <c r="J95" s="811"/>
      <c r="K95" s="811"/>
      <c r="L95" s="811"/>
      <c r="M95" s="811"/>
      <c r="N95" s="811"/>
      <c r="O95" s="811"/>
      <c r="P95" s="811"/>
      <c r="Q95" s="811"/>
      <c r="R95" s="811"/>
      <c r="S95" s="811"/>
      <c r="T95" s="811"/>
      <c r="U95" s="811"/>
      <c r="V95" s="811"/>
      <c r="W95" s="811"/>
      <c r="X95" s="811"/>
      <c r="Y95" s="811"/>
      <c r="Z95" s="811"/>
      <c r="AA95" s="1039"/>
      <c r="AB95" s="1039"/>
      <c r="AC95" s="1039"/>
      <c r="AD95" s="1039"/>
    </row>
    <row r="96" spans="1:30" ht="15" thickBot="1">
      <c r="A96" s="469"/>
      <c r="B96" s="470"/>
      <c r="C96" s="470"/>
      <c r="D96" s="470"/>
      <c r="E96" s="471"/>
      <c r="F96" s="471"/>
      <c r="G96" s="471"/>
      <c r="H96" s="471"/>
      <c r="I96" s="471"/>
      <c r="J96" s="471"/>
      <c r="K96" s="471"/>
      <c r="L96" s="471"/>
      <c r="M96" s="471"/>
      <c r="N96" s="471"/>
      <c r="O96" s="471"/>
      <c r="P96" s="471"/>
      <c r="Q96" s="471"/>
      <c r="R96" s="471"/>
      <c r="S96" s="471"/>
      <c r="T96" s="471"/>
      <c r="U96" s="471"/>
      <c r="V96" s="471"/>
      <c r="W96" s="471"/>
      <c r="X96" s="471"/>
      <c r="Y96" s="471"/>
      <c r="Z96" s="472"/>
      <c r="AA96" s="471"/>
      <c r="AB96" s="471"/>
      <c r="AC96" s="471"/>
      <c r="AD96" s="471"/>
    </row>
    <row r="97" spans="1:30">
      <c r="A97" s="459" t="s">
        <v>77</v>
      </c>
      <c r="B97" s="460" t="e">
        <f>I97</f>
        <v>#REF!</v>
      </c>
      <c r="C97" s="515" t="s">
        <v>78</v>
      </c>
      <c r="D97" s="460"/>
      <c r="E97" s="461" t="s">
        <v>77</v>
      </c>
      <c r="F97" s="462" t="e">
        <f>#REF!/TC</f>
        <v>#REF!</v>
      </c>
      <c r="G97" s="241">
        <v>60</v>
      </c>
      <c r="H97" s="241">
        <v>1</v>
      </c>
      <c r="I97" s="463" t="e">
        <f t="shared" ref="I97:I118" si="20">F97*G97*H97</f>
        <v>#REF!</v>
      </c>
      <c r="J97" s="464"/>
      <c r="K97" s="244"/>
      <c r="L97" s="244"/>
      <c r="M97" s="244"/>
      <c r="N97" s="465">
        <f>K97*M97</f>
        <v>0</v>
      </c>
      <c r="O97" s="466"/>
      <c r="P97" s="241"/>
      <c r="Q97" s="241"/>
      <c r="R97" s="463">
        <f>P97*Q97</f>
        <v>0</v>
      </c>
      <c r="S97" s="467"/>
      <c r="T97" s="223"/>
      <c r="U97" s="223"/>
      <c r="V97" s="435">
        <f>T97*U97</f>
        <v>0</v>
      </c>
      <c r="W97" s="468"/>
      <c r="X97" s="241"/>
      <c r="Y97" s="241"/>
      <c r="Z97" s="242">
        <f>X97*Y97</f>
        <v>0</v>
      </c>
      <c r="AA97" s="467"/>
      <c r="AB97" s="223"/>
      <c r="AC97" s="223"/>
      <c r="AD97" s="435">
        <f>AB97*AC97</f>
        <v>0</v>
      </c>
    </row>
    <row r="98" spans="1:30">
      <c r="A98" s="459"/>
      <c r="B98" s="460"/>
      <c r="C98" s="460" t="s">
        <v>79</v>
      </c>
      <c r="D98" s="460"/>
      <c r="E98" s="461"/>
      <c r="F98" s="462"/>
      <c r="G98" s="241"/>
      <c r="H98" s="241"/>
      <c r="I98" s="463"/>
      <c r="J98" s="464"/>
      <c r="K98" s="244"/>
      <c r="L98" s="244"/>
      <c r="M98" s="244"/>
      <c r="N98" s="465"/>
      <c r="O98" s="466"/>
      <c r="P98" s="241"/>
      <c r="Q98" s="241"/>
      <c r="R98" s="463"/>
      <c r="S98" s="467"/>
      <c r="T98" s="223"/>
      <c r="U98" s="223"/>
      <c r="V98" s="435"/>
      <c r="W98" s="468"/>
      <c r="X98" s="241"/>
      <c r="Y98" s="241"/>
      <c r="Z98" s="242"/>
      <c r="AA98" s="467"/>
      <c r="AB98" s="223"/>
      <c r="AC98" s="223"/>
      <c r="AD98" s="435"/>
    </row>
    <row r="99" spans="1:30" ht="28.15">
      <c r="A99" s="459"/>
      <c r="B99" s="460"/>
      <c r="C99" s="460" t="s">
        <v>80</v>
      </c>
      <c r="D99" s="460"/>
      <c r="E99" s="461"/>
      <c r="F99" s="462"/>
      <c r="G99" s="241"/>
      <c r="H99" s="241"/>
      <c r="I99" s="463"/>
      <c r="J99" s="464"/>
      <c r="K99" s="244"/>
      <c r="L99" s="244"/>
      <c r="M99" s="244"/>
      <c r="N99" s="465"/>
      <c r="O99" s="466"/>
      <c r="P99" s="241"/>
      <c r="Q99" s="241"/>
      <c r="R99" s="463"/>
      <c r="S99" s="467"/>
      <c r="T99" s="223"/>
      <c r="U99" s="223"/>
      <c r="V99" s="435"/>
      <c r="W99" s="468"/>
      <c r="X99" s="241"/>
      <c r="Y99" s="241"/>
      <c r="Z99" s="242"/>
      <c r="AA99" s="467"/>
      <c r="AB99" s="223"/>
      <c r="AC99" s="223"/>
      <c r="AD99" s="435"/>
    </row>
    <row r="100" spans="1:30" ht="28.15">
      <c r="A100" s="459"/>
      <c r="B100" s="460"/>
      <c r="C100" s="520" t="s">
        <v>81</v>
      </c>
      <c r="D100" s="460"/>
      <c r="E100" s="461"/>
      <c r="F100" s="462"/>
      <c r="G100" s="241"/>
      <c r="H100" s="241"/>
      <c r="I100" s="463"/>
      <c r="J100" s="464"/>
      <c r="K100" s="244"/>
      <c r="L100" s="244"/>
      <c r="M100" s="244"/>
      <c r="N100" s="465"/>
      <c r="O100" s="466"/>
      <c r="P100" s="241"/>
      <c r="Q100" s="241"/>
      <c r="R100" s="463"/>
      <c r="S100" s="467"/>
      <c r="T100" s="223"/>
      <c r="U100" s="223"/>
      <c r="V100" s="435"/>
      <c r="W100" s="468"/>
      <c r="X100" s="241"/>
      <c r="Y100" s="241"/>
      <c r="Z100" s="242"/>
      <c r="AA100" s="467"/>
      <c r="AB100" s="223"/>
      <c r="AC100" s="223"/>
      <c r="AD100" s="435"/>
    </row>
    <row r="101" spans="1:30" ht="28.15">
      <c r="A101" s="459"/>
      <c r="B101" s="460"/>
      <c r="C101" s="460" t="s">
        <v>82</v>
      </c>
      <c r="D101" s="460"/>
      <c r="E101" s="461"/>
      <c r="F101" s="462"/>
      <c r="G101" s="241"/>
      <c r="H101" s="241"/>
      <c r="I101" s="463"/>
      <c r="J101" s="464"/>
      <c r="K101" s="244"/>
      <c r="L101" s="244"/>
      <c r="M101" s="244"/>
      <c r="N101" s="465"/>
      <c r="O101" s="466"/>
      <c r="P101" s="241"/>
      <c r="Q101" s="241"/>
      <c r="R101" s="463"/>
      <c r="S101" s="467"/>
      <c r="T101" s="223"/>
      <c r="U101" s="223"/>
      <c r="V101" s="435"/>
      <c r="W101" s="468"/>
      <c r="X101" s="241"/>
      <c r="Y101" s="241"/>
      <c r="Z101" s="242"/>
      <c r="AA101" s="467"/>
      <c r="AB101" s="223"/>
      <c r="AC101" s="223"/>
      <c r="AD101" s="435"/>
    </row>
    <row r="102" spans="1:30">
      <c r="A102" s="459"/>
      <c r="B102" s="460"/>
      <c r="C102" s="460" t="s">
        <v>83</v>
      </c>
      <c r="D102" s="460"/>
      <c r="E102" s="461"/>
      <c r="F102" s="462"/>
      <c r="G102" s="241"/>
      <c r="H102" s="241"/>
      <c r="I102" s="463"/>
      <c r="J102" s="464"/>
      <c r="K102" s="244"/>
      <c r="L102" s="244"/>
      <c r="M102" s="244"/>
      <c r="N102" s="465"/>
      <c r="O102" s="466"/>
      <c r="P102" s="241"/>
      <c r="Q102" s="241"/>
      <c r="R102" s="463"/>
      <c r="S102" s="467"/>
      <c r="T102" s="223"/>
      <c r="U102" s="223"/>
      <c r="V102" s="435"/>
      <c r="W102" s="468"/>
      <c r="X102" s="241"/>
      <c r="Y102" s="241"/>
      <c r="Z102" s="242"/>
      <c r="AA102" s="467"/>
      <c r="AB102" s="223"/>
      <c r="AC102" s="223"/>
      <c r="AD102" s="435"/>
    </row>
    <row r="103" spans="1:30" ht="28.15">
      <c r="A103" s="459"/>
      <c r="B103" s="460"/>
      <c r="C103" s="517" t="s">
        <v>84</v>
      </c>
      <c r="D103" s="460"/>
      <c r="E103" s="461"/>
      <c r="F103" s="462"/>
      <c r="G103" s="241"/>
      <c r="H103" s="241"/>
      <c r="I103" s="463"/>
      <c r="J103" s="464"/>
      <c r="K103" s="244"/>
      <c r="L103" s="244"/>
      <c r="M103" s="244"/>
      <c r="N103" s="465"/>
      <c r="O103" s="466"/>
      <c r="P103" s="241"/>
      <c r="Q103" s="241"/>
      <c r="R103" s="463"/>
      <c r="S103" s="467"/>
      <c r="T103" s="223"/>
      <c r="U103" s="223"/>
      <c r="V103" s="435"/>
      <c r="W103" s="468"/>
      <c r="X103" s="241"/>
      <c r="Y103" s="241"/>
      <c r="Z103" s="242"/>
      <c r="AA103" s="467"/>
      <c r="AB103" s="223"/>
      <c r="AC103" s="223"/>
      <c r="AD103" s="435"/>
    </row>
    <row r="104" spans="1:30" ht="28.15">
      <c r="A104" s="459"/>
      <c r="B104" s="460"/>
      <c r="C104" s="460" t="s">
        <v>85</v>
      </c>
      <c r="D104" s="460"/>
      <c r="E104" s="461"/>
      <c r="F104" s="462"/>
      <c r="G104" s="241"/>
      <c r="H104" s="241"/>
      <c r="I104" s="463"/>
      <c r="J104" s="464"/>
      <c r="K104" s="244"/>
      <c r="L104" s="244"/>
      <c r="M104" s="244"/>
      <c r="N104" s="465"/>
      <c r="O104" s="466"/>
      <c r="P104" s="241"/>
      <c r="Q104" s="241"/>
      <c r="R104" s="463"/>
      <c r="S104" s="467"/>
      <c r="T104" s="223"/>
      <c r="U104" s="223"/>
      <c r="V104" s="435"/>
      <c r="W104" s="468"/>
      <c r="X104" s="241"/>
      <c r="Y104" s="241"/>
      <c r="Z104" s="242"/>
      <c r="AA104" s="467"/>
      <c r="AB104" s="223"/>
      <c r="AC104" s="223"/>
      <c r="AD104" s="435"/>
    </row>
    <row r="105" spans="1:30" ht="28.15">
      <c r="A105" s="459"/>
      <c r="B105" s="460"/>
      <c r="C105" s="520" t="s">
        <v>86</v>
      </c>
      <c r="D105" s="460"/>
      <c r="E105" s="461"/>
      <c r="F105" s="462"/>
      <c r="G105" s="241"/>
      <c r="H105" s="241"/>
      <c r="I105" s="463"/>
      <c r="J105" s="464"/>
      <c r="K105" s="244"/>
      <c r="L105" s="244"/>
      <c r="M105" s="244"/>
      <c r="N105" s="465"/>
      <c r="O105" s="466"/>
      <c r="P105" s="241"/>
      <c r="Q105" s="241"/>
      <c r="R105" s="463"/>
      <c r="S105" s="467"/>
      <c r="T105" s="223"/>
      <c r="U105" s="223"/>
      <c r="V105" s="435"/>
      <c r="W105" s="468"/>
      <c r="X105" s="241"/>
      <c r="Y105" s="241"/>
      <c r="Z105" s="242"/>
      <c r="AA105" s="467"/>
      <c r="AB105" s="223"/>
      <c r="AC105" s="223"/>
      <c r="AD105" s="435"/>
    </row>
    <row r="106" spans="1:30" ht="28.15">
      <c r="A106" s="459"/>
      <c r="B106" s="460"/>
      <c r="C106" s="520" t="s">
        <v>87</v>
      </c>
      <c r="D106" s="460"/>
      <c r="E106" s="461"/>
      <c r="F106" s="462"/>
      <c r="G106" s="241"/>
      <c r="H106" s="241"/>
      <c r="I106" s="463"/>
      <c r="J106" s="464"/>
      <c r="K106" s="244"/>
      <c r="L106" s="244"/>
      <c r="M106" s="244"/>
      <c r="N106" s="465"/>
      <c r="O106" s="466"/>
      <c r="P106" s="241"/>
      <c r="Q106" s="241"/>
      <c r="R106" s="463"/>
      <c r="S106" s="467"/>
      <c r="T106" s="223"/>
      <c r="U106" s="223"/>
      <c r="V106" s="435"/>
      <c r="W106" s="468"/>
      <c r="X106" s="241"/>
      <c r="Y106" s="241"/>
      <c r="Z106" s="242"/>
      <c r="AA106" s="467"/>
      <c r="AB106" s="223"/>
      <c r="AC106" s="223"/>
      <c r="AD106" s="435"/>
    </row>
    <row r="107" spans="1:30" ht="16.5" customHeight="1">
      <c r="A107" s="436" t="s">
        <v>88</v>
      </c>
      <c r="B107" s="460" t="e">
        <f t="shared" ref="B107:B118" si="21">I107</f>
        <v>#REF!</v>
      </c>
      <c r="C107" s="515" t="s">
        <v>89</v>
      </c>
      <c r="D107" s="460"/>
      <c r="E107" s="437" t="s">
        <v>88</v>
      </c>
      <c r="F107" s="438" t="e">
        <f>#REF!/TC</f>
        <v>#REF!</v>
      </c>
      <c r="G107" s="209">
        <v>60</v>
      </c>
      <c r="H107" s="209">
        <v>1</v>
      </c>
      <c r="I107" s="439" t="e">
        <f t="shared" si="20"/>
        <v>#REF!</v>
      </c>
      <c r="J107" s="440"/>
      <c r="K107" s="211"/>
      <c r="L107" s="211"/>
      <c r="M107" s="211"/>
      <c r="N107" s="441">
        <f>K107*M107</f>
        <v>0</v>
      </c>
      <c r="O107" s="429"/>
      <c r="P107" s="209"/>
      <c r="Q107" s="209"/>
      <c r="R107" s="439">
        <f>P107*Q107</f>
        <v>0</v>
      </c>
      <c r="S107" s="442"/>
      <c r="T107" s="212"/>
      <c r="U107" s="212"/>
      <c r="V107" s="433">
        <f t="shared" ref="V107:V114" si="22">T107*U107</f>
        <v>0</v>
      </c>
      <c r="W107" s="431"/>
      <c r="X107" s="209"/>
      <c r="Y107" s="209"/>
      <c r="Z107" s="210">
        <f>X107*Y107</f>
        <v>0</v>
      </c>
      <c r="AA107" s="442"/>
      <c r="AB107" s="212"/>
      <c r="AC107" s="212"/>
      <c r="AD107" s="433">
        <f t="shared" ref="AD107:AD114" si="23">AB107*AC107</f>
        <v>0</v>
      </c>
    </row>
    <row r="108" spans="1:30">
      <c r="A108" s="436" t="s">
        <v>90</v>
      </c>
      <c r="B108" s="460" t="e">
        <f t="shared" si="21"/>
        <v>#REF!</v>
      </c>
      <c r="C108" s="515" t="s">
        <v>91</v>
      </c>
      <c r="D108" s="460"/>
      <c r="E108" s="437" t="s">
        <v>90</v>
      </c>
      <c r="F108" s="438" t="e">
        <f>#REF!/TC</f>
        <v>#REF!</v>
      </c>
      <c r="G108" s="209">
        <v>60</v>
      </c>
      <c r="H108" s="209">
        <v>1</v>
      </c>
      <c r="I108" s="439" t="e">
        <f t="shared" si="20"/>
        <v>#REF!</v>
      </c>
      <c r="J108" s="440"/>
      <c r="K108" s="211"/>
      <c r="L108" s="211"/>
      <c r="M108" s="211"/>
      <c r="N108" s="441">
        <f>K108*M108</f>
        <v>0</v>
      </c>
      <c r="O108" s="429"/>
      <c r="P108" s="209"/>
      <c r="Q108" s="209"/>
      <c r="R108" s="439">
        <f t="shared" ref="R108:R114" si="24">P108*Q108</f>
        <v>0</v>
      </c>
      <c r="S108" s="442"/>
      <c r="T108" s="212"/>
      <c r="U108" s="212"/>
      <c r="V108" s="433">
        <f t="shared" si="22"/>
        <v>0</v>
      </c>
      <c r="W108" s="431"/>
      <c r="X108" s="209"/>
      <c r="Y108" s="209"/>
      <c r="Z108" s="210">
        <f>X108*Y108</f>
        <v>0</v>
      </c>
      <c r="AA108" s="442"/>
      <c r="AB108" s="212"/>
      <c r="AC108" s="212"/>
      <c r="AD108" s="433">
        <f t="shared" si="23"/>
        <v>0</v>
      </c>
    </row>
    <row r="109" spans="1:30">
      <c r="A109" s="436" t="s">
        <v>92</v>
      </c>
      <c r="B109" s="460" t="e">
        <f t="shared" si="21"/>
        <v>#REF!</v>
      </c>
      <c r="C109" s="515" t="s">
        <v>93</v>
      </c>
      <c r="D109" s="460"/>
      <c r="E109" s="437" t="s">
        <v>92</v>
      </c>
      <c r="F109" s="438" t="e">
        <f>#REF!/TC</f>
        <v>#REF!</v>
      </c>
      <c r="G109" s="209">
        <v>60</v>
      </c>
      <c r="H109" s="209">
        <v>1</v>
      </c>
      <c r="I109" s="439" t="e">
        <f t="shared" si="20"/>
        <v>#REF!</v>
      </c>
      <c r="J109" s="440"/>
      <c r="K109" s="211"/>
      <c r="L109" s="211"/>
      <c r="M109" s="211"/>
      <c r="N109" s="441">
        <f>K109*M109</f>
        <v>0</v>
      </c>
      <c r="O109" s="429"/>
      <c r="P109" s="209"/>
      <c r="Q109" s="209"/>
      <c r="R109" s="439">
        <f t="shared" si="24"/>
        <v>0</v>
      </c>
      <c r="S109" s="442"/>
      <c r="T109" s="212"/>
      <c r="U109" s="212"/>
      <c r="V109" s="433">
        <f t="shared" si="22"/>
        <v>0</v>
      </c>
      <c r="W109" s="431"/>
      <c r="X109" s="209"/>
      <c r="Y109" s="209"/>
      <c r="Z109" s="210">
        <f>X109*Y109</f>
        <v>0</v>
      </c>
      <c r="AA109" s="442"/>
      <c r="AB109" s="212"/>
      <c r="AC109" s="212"/>
      <c r="AD109" s="433">
        <f t="shared" si="23"/>
        <v>0</v>
      </c>
    </row>
    <row r="110" spans="1:30">
      <c r="A110" s="436"/>
      <c r="B110" s="460"/>
      <c r="C110" s="516" t="s">
        <v>94</v>
      </c>
      <c r="D110" s="460"/>
      <c r="E110" s="437"/>
      <c r="F110" s="438"/>
      <c r="G110" s="209"/>
      <c r="H110" s="209"/>
      <c r="I110" s="439"/>
      <c r="J110" s="440"/>
      <c r="K110" s="211"/>
      <c r="L110" s="211"/>
      <c r="M110" s="211"/>
      <c r="N110" s="441"/>
      <c r="O110" s="429"/>
      <c r="P110" s="209"/>
      <c r="Q110" s="209"/>
      <c r="R110" s="439"/>
      <c r="S110" s="442"/>
      <c r="T110" s="212"/>
      <c r="U110" s="212"/>
      <c r="V110" s="433"/>
      <c r="W110" s="431"/>
      <c r="X110" s="209"/>
      <c r="Y110" s="209"/>
      <c r="Z110" s="210"/>
      <c r="AA110" s="442"/>
      <c r="AB110" s="212"/>
      <c r="AC110" s="212"/>
      <c r="AD110" s="433"/>
    </row>
    <row r="111" spans="1:30" ht="27" customHeight="1">
      <c r="A111" s="799" t="s">
        <v>95</v>
      </c>
      <c r="B111" s="460">
        <f t="shared" si="21"/>
        <v>20000</v>
      </c>
      <c r="C111" s="515" t="s">
        <v>96</v>
      </c>
      <c r="D111" s="460">
        <f>50000*3.35</f>
        <v>167500</v>
      </c>
      <c r="E111" s="437" t="s">
        <v>97</v>
      </c>
      <c r="F111" s="438">
        <v>20000</v>
      </c>
      <c r="G111" s="209">
        <v>1</v>
      </c>
      <c r="H111" s="209">
        <v>1</v>
      </c>
      <c r="I111" s="439">
        <f t="shared" si="20"/>
        <v>20000</v>
      </c>
      <c r="J111" s="440"/>
      <c r="K111" s="211"/>
      <c r="L111" s="211"/>
      <c r="M111" s="211"/>
      <c r="N111" s="441">
        <f>K111*M111</f>
        <v>0</v>
      </c>
      <c r="O111" s="429"/>
      <c r="P111" s="209"/>
      <c r="Q111" s="209"/>
      <c r="R111" s="439">
        <f t="shared" si="24"/>
        <v>0</v>
      </c>
      <c r="S111" s="442"/>
      <c r="T111" s="212"/>
      <c r="U111" s="212"/>
      <c r="V111" s="433">
        <f t="shared" si="22"/>
        <v>0</v>
      </c>
      <c r="W111" s="431"/>
      <c r="X111" s="209"/>
      <c r="Y111" s="209"/>
      <c r="Z111" s="210">
        <f>X111*Y111</f>
        <v>0</v>
      </c>
      <c r="AA111" s="442"/>
      <c r="AB111" s="212"/>
      <c r="AC111" s="212"/>
      <c r="AD111" s="433">
        <f t="shared" si="23"/>
        <v>0</v>
      </c>
    </row>
    <row r="112" spans="1:30" ht="14.25" customHeight="1">
      <c r="A112" s="799"/>
      <c r="B112" s="460">
        <f t="shared" si="21"/>
        <v>30000</v>
      </c>
      <c r="C112" s="515" t="s">
        <v>98</v>
      </c>
      <c r="D112" s="460">
        <f>60000*3.35</f>
        <v>201000</v>
      </c>
      <c r="E112" s="437" t="s">
        <v>99</v>
      </c>
      <c r="F112" s="438">
        <v>30000</v>
      </c>
      <c r="G112" s="209">
        <v>1</v>
      </c>
      <c r="H112" s="209">
        <v>1</v>
      </c>
      <c r="I112" s="439">
        <f t="shared" si="20"/>
        <v>30000</v>
      </c>
      <c r="J112" s="440"/>
      <c r="K112" s="211"/>
      <c r="L112" s="211"/>
      <c r="M112" s="211"/>
      <c r="N112" s="441">
        <f>K112*M112</f>
        <v>0</v>
      </c>
      <c r="O112" s="429"/>
      <c r="P112" s="209"/>
      <c r="Q112" s="209"/>
      <c r="R112" s="439">
        <f t="shared" si="24"/>
        <v>0</v>
      </c>
      <c r="S112" s="442"/>
      <c r="T112" s="212"/>
      <c r="U112" s="212"/>
      <c r="V112" s="433">
        <f t="shared" si="22"/>
        <v>0</v>
      </c>
      <c r="W112" s="431"/>
      <c r="X112" s="209"/>
      <c r="Y112" s="209"/>
      <c r="Z112" s="210">
        <f>X112*Y112</f>
        <v>0</v>
      </c>
      <c r="AA112" s="442"/>
      <c r="AB112" s="212"/>
      <c r="AC112" s="212"/>
      <c r="AD112" s="433">
        <f t="shared" si="23"/>
        <v>0</v>
      </c>
    </row>
    <row r="113" spans="1:30" ht="14.25" customHeight="1">
      <c r="A113" s="799"/>
      <c r="B113" s="460">
        <f t="shared" si="21"/>
        <v>30000</v>
      </c>
      <c r="C113" s="514" t="s">
        <v>93</v>
      </c>
      <c r="D113" s="460"/>
      <c r="E113" s="437" t="s">
        <v>100</v>
      </c>
      <c r="F113" s="438">
        <v>30000</v>
      </c>
      <c r="G113" s="209">
        <v>1</v>
      </c>
      <c r="H113" s="209">
        <v>1</v>
      </c>
      <c r="I113" s="439">
        <f t="shared" si="20"/>
        <v>30000</v>
      </c>
      <c r="J113" s="440"/>
      <c r="K113" s="211"/>
      <c r="L113" s="211"/>
      <c r="M113" s="211"/>
      <c r="N113" s="441">
        <f>K113*M113</f>
        <v>0</v>
      </c>
      <c r="O113" s="429"/>
      <c r="P113" s="209"/>
      <c r="Q113" s="209"/>
      <c r="R113" s="439">
        <f t="shared" si="24"/>
        <v>0</v>
      </c>
      <c r="S113" s="442"/>
      <c r="T113" s="212"/>
      <c r="U113" s="212"/>
      <c r="V113" s="433">
        <f t="shared" si="22"/>
        <v>0</v>
      </c>
      <c r="W113" s="431"/>
      <c r="X113" s="209"/>
      <c r="Y113" s="209"/>
      <c r="Z113" s="210">
        <f>X113*Y113</f>
        <v>0</v>
      </c>
      <c r="AA113" s="442"/>
      <c r="AB113" s="212"/>
      <c r="AC113" s="212"/>
      <c r="AD113" s="433">
        <f t="shared" si="23"/>
        <v>0</v>
      </c>
    </row>
    <row r="114" spans="1:30" ht="14.25" customHeight="1">
      <c r="A114" s="799"/>
      <c r="B114" s="460">
        <f t="shared" si="21"/>
        <v>30000</v>
      </c>
      <c r="C114" s="514" t="s">
        <v>93</v>
      </c>
      <c r="D114" s="460"/>
      <c r="E114" s="437" t="s">
        <v>101</v>
      </c>
      <c r="F114" s="438">
        <v>30000</v>
      </c>
      <c r="G114" s="209">
        <v>1</v>
      </c>
      <c r="H114" s="209">
        <v>1</v>
      </c>
      <c r="I114" s="439">
        <f t="shared" si="20"/>
        <v>30000</v>
      </c>
      <c r="J114" s="440"/>
      <c r="K114" s="211"/>
      <c r="L114" s="211"/>
      <c r="M114" s="211"/>
      <c r="N114" s="441">
        <f>K114*M114</f>
        <v>0</v>
      </c>
      <c r="O114" s="429"/>
      <c r="P114" s="209"/>
      <c r="Q114" s="209"/>
      <c r="R114" s="439">
        <f t="shared" si="24"/>
        <v>0</v>
      </c>
      <c r="S114" s="442"/>
      <c r="T114" s="212"/>
      <c r="U114" s="212"/>
      <c r="V114" s="433">
        <f t="shared" si="22"/>
        <v>0</v>
      </c>
      <c r="W114" s="431"/>
      <c r="X114" s="209"/>
      <c r="Y114" s="209"/>
      <c r="Z114" s="210">
        <f>X114*Y114</f>
        <v>0</v>
      </c>
      <c r="AA114" s="442"/>
      <c r="AB114" s="212"/>
      <c r="AC114" s="212"/>
      <c r="AD114" s="433">
        <f t="shared" si="23"/>
        <v>0</v>
      </c>
    </row>
    <row r="115" spans="1:30">
      <c r="A115" s="757" t="s">
        <v>102</v>
      </c>
      <c r="B115" s="460">
        <f t="shared" si="21"/>
        <v>100000</v>
      </c>
      <c r="C115" s="757" t="s">
        <v>102</v>
      </c>
      <c r="D115" s="460">
        <v>335000</v>
      </c>
      <c r="E115" s="437" t="s">
        <v>102</v>
      </c>
      <c r="F115" s="438">
        <v>20000</v>
      </c>
      <c r="G115" s="209">
        <v>5</v>
      </c>
      <c r="H115" s="209">
        <v>1</v>
      </c>
      <c r="I115" s="439">
        <f t="shared" si="20"/>
        <v>100000</v>
      </c>
      <c r="J115" s="440"/>
      <c r="K115" s="211"/>
      <c r="L115" s="211"/>
      <c r="M115" s="211"/>
      <c r="N115" s="441"/>
      <c r="O115" s="429"/>
      <c r="P115" s="209"/>
      <c r="Q115" s="209"/>
      <c r="R115" s="439"/>
      <c r="S115" s="442"/>
      <c r="T115" s="212"/>
      <c r="U115" s="212"/>
      <c r="V115" s="433"/>
      <c r="W115" s="341"/>
      <c r="X115" s="230"/>
      <c r="Y115" s="230"/>
      <c r="Z115" s="231"/>
      <c r="AA115" s="442"/>
      <c r="AB115" s="212"/>
      <c r="AC115" s="212"/>
      <c r="AD115" s="433"/>
    </row>
    <row r="116" spans="1:30" ht="15" customHeight="1">
      <c r="A116" s="436" t="s">
        <v>103</v>
      </c>
      <c r="B116" s="460">
        <f t="shared" si="21"/>
        <v>198000</v>
      </c>
      <c r="C116" s="514" t="s">
        <v>93</v>
      </c>
      <c r="D116" s="460"/>
      <c r="E116" s="437" t="s">
        <v>104</v>
      </c>
      <c r="F116" s="438">
        <f>Prices!D2</f>
        <v>16500</v>
      </c>
      <c r="G116" s="209">
        <v>12</v>
      </c>
      <c r="H116" s="209">
        <v>1</v>
      </c>
      <c r="I116" s="439">
        <f t="shared" si="20"/>
        <v>198000</v>
      </c>
      <c r="J116" s="440"/>
      <c r="K116" s="211"/>
      <c r="L116" s="211"/>
      <c r="M116" s="211"/>
      <c r="N116" s="441">
        <f>K116*M116</f>
        <v>0</v>
      </c>
      <c r="O116" s="429"/>
      <c r="P116" s="209"/>
      <c r="Q116" s="209"/>
      <c r="R116" s="439"/>
      <c r="S116" s="442"/>
      <c r="T116" s="212"/>
      <c r="U116" s="212"/>
      <c r="V116" s="433"/>
      <c r="W116" s="341"/>
      <c r="X116" s="230"/>
      <c r="Y116" s="230"/>
      <c r="Z116" s="231"/>
      <c r="AA116" s="442"/>
      <c r="AB116" s="212"/>
      <c r="AC116" s="212"/>
      <c r="AD116" s="433"/>
    </row>
    <row r="117" spans="1:30" ht="15" customHeight="1">
      <c r="A117" s="443" t="s">
        <v>105</v>
      </c>
      <c r="B117" s="460">
        <f t="shared" si="21"/>
        <v>720000</v>
      </c>
      <c r="C117" s="518" t="s">
        <v>93</v>
      </c>
      <c r="D117" s="501"/>
      <c r="E117" s="444" t="s">
        <v>105</v>
      </c>
      <c r="F117" s="445">
        <v>720000</v>
      </c>
      <c r="G117" s="217">
        <v>1</v>
      </c>
      <c r="H117" s="217">
        <v>1</v>
      </c>
      <c r="I117" s="439">
        <f t="shared" si="20"/>
        <v>720000</v>
      </c>
      <c r="J117" s="447"/>
      <c r="K117" s="220"/>
      <c r="L117" s="220"/>
      <c r="M117" s="220"/>
      <c r="N117" s="336"/>
      <c r="O117" s="448"/>
      <c r="P117" s="217"/>
      <c r="Q117" s="217"/>
      <c r="R117" s="446"/>
      <c r="S117" s="449"/>
      <c r="T117" s="221"/>
      <c r="U117" s="221"/>
      <c r="V117" s="450"/>
      <c r="W117" s="341"/>
      <c r="X117" s="230"/>
      <c r="Y117" s="230"/>
      <c r="Z117" s="231"/>
      <c r="AA117" s="449"/>
      <c r="AB117" s="221"/>
      <c r="AC117" s="221"/>
      <c r="AD117" s="450"/>
    </row>
    <row r="118" spans="1:30" ht="15.75" customHeight="1" thickBot="1">
      <c r="A118" s="443" t="s">
        <v>5</v>
      </c>
      <c r="B118" s="460">
        <f t="shared" si="21"/>
        <v>200000</v>
      </c>
      <c r="C118" s="519" t="s">
        <v>5</v>
      </c>
      <c r="D118" s="501"/>
      <c r="E118" s="444" t="s">
        <v>5</v>
      </c>
      <c r="F118" s="445">
        <f>B4</f>
        <v>200000</v>
      </c>
      <c r="G118" s="217">
        <v>1</v>
      </c>
      <c r="H118" s="217">
        <v>1</v>
      </c>
      <c r="I118" s="439">
        <f t="shared" si="20"/>
        <v>200000</v>
      </c>
      <c r="J118" s="447"/>
      <c r="K118" s="220"/>
      <c r="L118" s="220"/>
      <c r="M118" s="220"/>
      <c r="N118" s="336"/>
      <c r="O118" s="448"/>
      <c r="P118" s="217"/>
      <c r="Q118" s="217"/>
      <c r="R118" s="446"/>
      <c r="S118" s="449"/>
      <c r="T118" s="221"/>
      <c r="U118" s="221"/>
      <c r="V118" s="450"/>
      <c r="W118" s="341"/>
      <c r="X118" s="230"/>
      <c r="Y118" s="230"/>
      <c r="Z118" s="231"/>
      <c r="AA118" s="449"/>
      <c r="AB118" s="221"/>
      <c r="AC118" s="221"/>
      <c r="AD118" s="450"/>
    </row>
    <row r="119" spans="1:30" ht="16.149999999999999" thickBot="1">
      <c r="A119" s="452" t="s">
        <v>106</v>
      </c>
      <c r="B119" s="453"/>
      <c r="C119" s="453"/>
      <c r="D119" s="453"/>
      <c r="E119" s="454"/>
      <c r="F119" s="455"/>
      <c r="G119" s="455"/>
      <c r="H119" s="455"/>
      <c r="I119" s="456" t="e">
        <f>SUM(I10:I116)</f>
        <v>#REF!</v>
      </c>
      <c r="J119" s="457"/>
      <c r="K119" s="455"/>
      <c r="L119" s="455"/>
      <c r="M119" s="455"/>
      <c r="N119" s="456">
        <f>SUM(N10:N116)</f>
        <v>6060067.1999999993</v>
      </c>
      <c r="O119" s="454"/>
      <c r="P119" s="455"/>
      <c r="Q119" s="455"/>
      <c r="R119" s="456">
        <f>SUM(R10:R116)</f>
        <v>20770000</v>
      </c>
      <c r="S119" s="457"/>
      <c r="T119" s="455"/>
      <c r="U119" s="455"/>
      <c r="V119" s="458">
        <f>SUM(V10:V116)</f>
        <v>3552500</v>
      </c>
      <c r="W119" s="451"/>
      <c r="X119" s="233"/>
      <c r="Y119" s="233"/>
      <c r="Z119" s="234">
        <f>SUM(Z10:Z116)</f>
        <v>0</v>
      </c>
      <c r="AA119" s="457"/>
      <c r="AB119" s="455"/>
      <c r="AC119" s="455"/>
      <c r="AD119" s="458">
        <f>SUM(AD10:AD116)</f>
        <v>0</v>
      </c>
    </row>
    <row r="120" spans="1:30" ht="16.149999999999999" thickBot="1">
      <c r="A120" s="452" t="s">
        <v>107</v>
      </c>
      <c r="B120" s="453"/>
      <c r="C120" s="453"/>
      <c r="D120" s="453"/>
      <c r="E120" s="454"/>
      <c r="F120" s="455"/>
      <c r="G120" s="455"/>
      <c r="H120" s="455"/>
      <c r="I120" s="489" t="e">
        <f>I119/$B$1*100</f>
        <v>#REF!</v>
      </c>
      <c r="J120" s="457"/>
      <c r="K120" s="455"/>
      <c r="L120" s="455"/>
      <c r="M120" s="455"/>
      <c r="N120" s="489" t="e">
        <f>N119/$B$1*100</f>
        <v>#REF!</v>
      </c>
      <c r="O120" s="454"/>
      <c r="P120" s="455"/>
      <c r="Q120" s="455"/>
      <c r="R120" s="489" t="e">
        <f>R119/$B$1*100</f>
        <v>#REF!</v>
      </c>
      <c r="S120" s="457"/>
      <c r="T120" s="455"/>
      <c r="U120" s="455"/>
      <c r="V120" s="489" t="e">
        <f>V119/$B$1*100</f>
        <v>#REF!</v>
      </c>
      <c r="W120" s="451"/>
      <c r="X120" s="233"/>
      <c r="Y120" s="233"/>
      <c r="Z120" s="234" t="e">
        <f>Z119/$B$1*100</f>
        <v>#REF!</v>
      </c>
      <c r="AA120" s="457"/>
      <c r="AB120" s="455"/>
      <c r="AC120" s="455"/>
      <c r="AD120" s="489" t="e">
        <f>AD119/$B$1*100</f>
        <v>#REF!</v>
      </c>
    </row>
    <row r="121" spans="1:30">
      <c r="B121" s="364"/>
      <c r="C121" s="364"/>
      <c r="D121" s="364"/>
    </row>
  </sheetData>
  <mergeCells count="42">
    <mergeCell ref="A10:A18"/>
    <mergeCell ref="A71:A76"/>
    <mergeCell ref="B71:B76"/>
    <mergeCell ref="B63:B68"/>
    <mergeCell ref="B89:B94"/>
    <mergeCell ref="B39:B44"/>
    <mergeCell ref="A77:A82"/>
    <mergeCell ref="B77:B82"/>
    <mergeCell ref="A57:A62"/>
    <mergeCell ref="B57:B62"/>
    <mergeCell ref="A39:A44"/>
    <mergeCell ref="A19:A24"/>
    <mergeCell ref="B19:B24"/>
    <mergeCell ref="B10:B18"/>
    <mergeCell ref="B31:B36"/>
    <mergeCell ref="A5:B7"/>
    <mergeCell ref="O5:R5"/>
    <mergeCell ref="S5:V5"/>
    <mergeCell ref="E5:I6"/>
    <mergeCell ref="J5:N6"/>
    <mergeCell ref="A111:A114"/>
    <mergeCell ref="A83:A88"/>
    <mergeCell ref="B83:B88"/>
    <mergeCell ref="A89:A94"/>
    <mergeCell ref="AA5:AD5"/>
    <mergeCell ref="A45:A50"/>
    <mergeCell ref="B45:B50"/>
    <mergeCell ref="A51:A56"/>
    <mergeCell ref="B51:B56"/>
    <mergeCell ref="E95:AD95"/>
    <mergeCell ref="A25:A30"/>
    <mergeCell ref="B25:B30"/>
    <mergeCell ref="A31:A36"/>
    <mergeCell ref="A63:A68"/>
    <mergeCell ref="U70:AD70"/>
    <mergeCell ref="A38:AD38"/>
    <mergeCell ref="G1:AD4"/>
    <mergeCell ref="E8:AD8"/>
    <mergeCell ref="E37:AD37"/>
    <mergeCell ref="C5:D7"/>
    <mergeCell ref="E69:AD69"/>
    <mergeCell ref="W5:Z5"/>
  </mergeCells>
  <phoneticPr fontId="64" type="noConversion"/>
  <printOptions horizontalCentered="1"/>
  <pageMargins left="0" right="0" top="0.15748031496062992" bottom="0.15748031496062992" header="0" footer="0"/>
  <pageSetup paperSize="9" scale="40" fitToHeight="9" orientation="landscape" horizontalDpi="4294967294" verticalDpi="429496729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20"/>
  <dimension ref="A5:N95"/>
  <sheetViews>
    <sheetView workbookViewId="0">
      <selection activeCell="C38" sqref="C38"/>
    </sheetView>
  </sheetViews>
  <sheetFormatPr defaultColWidth="10.7109375" defaultRowHeight="13.15"/>
  <cols>
    <col min="1" max="1" width="11.42578125" customWidth="1"/>
    <col min="2" max="2" width="8.140625" customWidth="1"/>
    <col min="3" max="3" width="36.85546875" customWidth="1"/>
    <col min="4" max="4" width="11.7109375" customWidth="1"/>
    <col min="5" max="6" width="11.42578125" customWidth="1"/>
    <col min="7" max="7" width="12.7109375" bestFit="1" customWidth="1"/>
    <col min="8" max="8" width="12.28515625" bestFit="1" customWidth="1"/>
    <col min="9" max="9" width="11.42578125" customWidth="1"/>
    <col min="10" max="10" width="12.28515625" bestFit="1" customWidth="1"/>
  </cols>
  <sheetData>
    <row r="5" spans="1:14">
      <c r="A5" s="9" t="s">
        <v>312</v>
      </c>
      <c r="B5" s="9" t="s">
        <v>313</v>
      </c>
      <c r="C5" s="9" t="s">
        <v>14</v>
      </c>
      <c r="D5" s="9" t="s">
        <v>314</v>
      </c>
      <c r="E5" s="9" t="s">
        <v>315</v>
      </c>
      <c r="F5" s="9" t="s">
        <v>316</v>
      </c>
      <c r="G5" s="9" t="s">
        <v>317</v>
      </c>
      <c r="H5" s="9" t="s">
        <v>318</v>
      </c>
      <c r="I5" s="9" t="s">
        <v>319</v>
      </c>
      <c r="J5" s="9" t="s">
        <v>320</v>
      </c>
      <c r="K5" s="9" t="s">
        <v>321</v>
      </c>
      <c r="L5" s="760"/>
      <c r="M5" s="760"/>
      <c r="N5" s="760"/>
    </row>
    <row r="7" spans="1:14">
      <c r="A7" s="760" t="s">
        <v>322</v>
      </c>
      <c r="B7" s="760"/>
      <c r="C7" s="760" t="s">
        <v>323</v>
      </c>
      <c r="D7" s="760" t="s">
        <v>324</v>
      </c>
      <c r="E7" s="9" t="s">
        <v>325</v>
      </c>
      <c r="F7" s="83">
        <f>20000</f>
        <v>20000</v>
      </c>
      <c r="G7" s="83"/>
      <c r="H7" s="84" t="e">
        <f>TC</f>
        <v>#REF!</v>
      </c>
      <c r="I7" s="760">
        <v>1</v>
      </c>
      <c r="J7" s="760" t="s">
        <v>326</v>
      </c>
      <c r="K7" s="21">
        <f>IF(G7&gt;0,G7*H7*I7,F7*I7)</f>
        <v>20000</v>
      </c>
      <c r="L7" s="760"/>
      <c r="M7" s="760"/>
      <c r="N7" s="760"/>
    </row>
    <row r="8" spans="1:14">
      <c r="A8" s="760"/>
      <c r="B8" s="760"/>
      <c r="C8" s="760" t="s">
        <v>327</v>
      </c>
      <c r="D8" s="760" t="s">
        <v>324</v>
      </c>
      <c r="E8" s="9" t="s">
        <v>325</v>
      </c>
      <c r="F8" s="83">
        <v>15000</v>
      </c>
      <c r="G8" s="83"/>
      <c r="H8" s="84" t="e">
        <f>TC</f>
        <v>#REF!</v>
      </c>
      <c r="I8" s="760">
        <v>1</v>
      </c>
      <c r="J8" s="760" t="s">
        <v>328</v>
      </c>
      <c r="K8" s="21">
        <f t="shared" ref="K8:K24" si="0">IF(G8&gt;0,G8*H8*I8,F8*I8)</f>
        <v>15000</v>
      </c>
      <c r="L8" s="760"/>
      <c r="M8" s="760"/>
      <c r="N8" s="760"/>
    </row>
    <row r="9" spans="1:14">
      <c r="A9" s="760"/>
      <c r="B9" s="760"/>
      <c r="C9" s="760" t="s">
        <v>329</v>
      </c>
      <c r="D9" s="760" t="s">
        <v>324</v>
      </c>
      <c r="E9" s="9" t="s">
        <v>325</v>
      </c>
      <c r="F9" s="83">
        <v>10000</v>
      </c>
      <c r="G9" s="83"/>
      <c r="H9" s="84" t="e">
        <f>TC</f>
        <v>#REF!</v>
      </c>
      <c r="I9" s="760">
        <v>1</v>
      </c>
      <c r="J9" s="760" t="s">
        <v>330</v>
      </c>
      <c r="K9" s="21">
        <f t="shared" si="0"/>
        <v>10000</v>
      </c>
      <c r="L9" s="760"/>
      <c r="M9" s="760"/>
      <c r="N9" s="760"/>
    </row>
    <row r="10" spans="1:14">
      <c r="A10" s="760"/>
      <c r="B10" s="760"/>
      <c r="C10" s="760" t="s">
        <v>331</v>
      </c>
      <c r="D10" s="760" t="s">
        <v>324</v>
      </c>
      <c r="E10" s="9" t="s">
        <v>325</v>
      </c>
      <c r="F10" s="83">
        <v>5000</v>
      </c>
      <c r="G10" s="83"/>
      <c r="H10" s="84" t="e">
        <f>TC</f>
        <v>#REF!</v>
      </c>
      <c r="I10" s="760">
        <v>1</v>
      </c>
      <c r="J10" s="760" t="s">
        <v>332</v>
      </c>
      <c r="K10" s="21">
        <f t="shared" si="0"/>
        <v>5000</v>
      </c>
      <c r="L10" s="760"/>
      <c r="M10" s="760">
        <f>100/0.7</f>
        <v>142.85714285714286</v>
      </c>
      <c r="N10" s="760">
        <f>M10*0.7</f>
        <v>100</v>
      </c>
    </row>
    <row r="11" spans="1:14">
      <c r="A11" s="760"/>
      <c r="B11" s="760"/>
      <c r="C11" s="760" t="s">
        <v>333</v>
      </c>
      <c r="D11" s="760" t="s">
        <v>334</v>
      </c>
      <c r="E11" s="9" t="s">
        <v>335</v>
      </c>
      <c r="F11" s="83"/>
      <c r="G11" s="83">
        <f>1500/0.7</f>
        <v>2142.8571428571431</v>
      </c>
      <c r="H11" s="84">
        <v>3.3</v>
      </c>
      <c r="I11" s="760">
        <v>1</v>
      </c>
      <c r="J11" s="760" t="s">
        <v>336</v>
      </c>
      <c r="K11" s="21">
        <f t="shared" si="0"/>
        <v>7071.4285714285716</v>
      </c>
      <c r="L11" s="760"/>
      <c r="M11" s="760"/>
      <c r="N11" s="760"/>
    </row>
    <row r="12" spans="1:14">
      <c r="A12" s="760"/>
      <c r="B12" s="760"/>
      <c r="C12" s="760"/>
      <c r="D12" s="760"/>
      <c r="E12" s="9"/>
      <c r="F12" s="83"/>
      <c r="G12" s="83"/>
      <c r="H12" s="84"/>
      <c r="I12" s="760"/>
      <c r="J12" s="760"/>
      <c r="K12" s="21"/>
      <c r="L12" s="760"/>
      <c r="M12" s="760"/>
      <c r="N12" s="760"/>
    </row>
    <row r="13" spans="1:14">
      <c r="A13" s="760"/>
      <c r="B13" s="760"/>
      <c r="C13" s="760"/>
      <c r="D13" s="760"/>
      <c r="E13" s="760"/>
      <c r="F13" s="62"/>
      <c r="G13" s="62"/>
      <c r="H13" s="760"/>
      <c r="I13" s="760"/>
      <c r="J13" s="760"/>
      <c r="K13" s="760"/>
      <c r="L13" s="760"/>
      <c r="M13" s="760"/>
      <c r="N13" s="760"/>
    </row>
    <row r="14" spans="1:14">
      <c r="A14" s="760" t="s">
        <v>337</v>
      </c>
      <c r="B14" s="760"/>
      <c r="C14" s="760" t="s">
        <v>338</v>
      </c>
      <c r="D14" s="760" t="s">
        <v>324</v>
      </c>
      <c r="E14" s="9" t="s">
        <v>339</v>
      </c>
      <c r="F14" s="83">
        <f>5000*5*2.5*1.18</f>
        <v>73750</v>
      </c>
      <c r="G14" s="83"/>
      <c r="H14" s="84" t="e">
        <f t="shared" ref="H14:H24" si="1">TC</f>
        <v>#REF!</v>
      </c>
      <c r="I14" s="760">
        <v>1</v>
      </c>
      <c r="J14" s="760" t="s">
        <v>340</v>
      </c>
      <c r="K14" s="21">
        <f t="shared" si="0"/>
        <v>73750</v>
      </c>
      <c r="L14" s="760"/>
      <c r="M14" s="760"/>
      <c r="N14" s="760"/>
    </row>
    <row r="15" spans="1:14">
      <c r="A15" s="760"/>
      <c r="B15" s="760"/>
      <c r="C15" s="760" t="s">
        <v>341</v>
      </c>
      <c r="D15" s="760" t="s">
        <v>324</v>
      </c>
      <c r="E15" s="9" t="s">
        <v>342</v>
      </c>
      <c r="F15" s="83"/>
      <c r="G15" s="83">
        <f>150*12</f>
        <v>1800</v>
      </c>
      <c r="H15" s="84" t="e">
        <f t="shared" si="1"/>
        <v>#REF!</v>
      </c>
      <c r="I15" s="760">
        <v>1</v>
      </c>
      <c r="J15" s="760" t="s">
        <v>343</v>
      </c>
      <c r="K15" s="21" t="e">
        <f t="shared" si="0"/>
        <v>#REF!</v>
      </c>
      <c r="L15" s="760"/>
      <c r="M15" s="760"/>
      <c r="N15" s="760"/>
    </row>
    <row r="16" spans="1:14">
      <c r="A16" s="760"/>
      <c r="B16" s="760"/>
      <c r="C16" s="760" t="s">
        <v>344</v>
      </c>
      <c r="D16" s="760" t="s">
        <v>345</v>
      </c>
      <c r="E16" s="9" t="s">
        <v>342</v>
      </c>
      <c r="F16" s="83"/>
      <c r="G16" s="83">
        <f>250*12</f>
        <v>3000</v>
      </c>
      <c r="H16" s="84" t="e">
        <f t="shared" si="1"/>
        <v>#REF!</v>
      </c>
      <c r="I16" s="760">
        <v>1</v>
      </c>
      <c r="J16" s="760" t="s">
        <v>346</v>
      </c>
      <c r="K16" s="21" t="e">
        <f t="shared" si="0"/>
        <v>#REF!</v>
      </c>
      <c r="L16" s="760"/>
      <c r="M16" s="760"/>
      <c r="N16" s="760"/>
    </row>
    <row r="17" spans="1:11">
      <c r="A17" s="760"/>
      <c r="B17" s="760"/>
      <c r="C17" s="760" t="s">
        <v>347</v>
      </c>
      <c r="D17" s="760" t="s">
        <v>324</v>
      </c>
      <c r="E17" s="9" t="s">
        <v>348</v>
      </c>
      <c r="F17" s="83">
        <v>2000</v>
      </c>
      <c r="G17" s="83"/>
      <c r="H17" s="84" t="e">
        <f t="shared" si="1"/>
        <v>#REF!</v>
      </c>
      <c r="I17" s="760">
        <v>1</v>
      </c>
      <c r="J17" s="760" t="s">
        <v>349</v>
      </c>
      <c r="K17" s="21">
        <f t="shared" si="0"/>
        <v>2000</v>
      </c>
    </row>
    <row r="18" spans="1:11">
      <c r="A18" s="760"/>
      <c r="B18" s="760"/>
      <c r="C18" s="760" t="s">
        <v>350</v>
      </c>
      <c r="D18" s="760" t="s">
        <v>324</v>
      </c>
      <c r="E18" s="9" t="s">
        <v>348</v>
      </c>
      <c r="F18" s="83">
        <v>1000</v>
      </c>
      <c r="G18" s="83"/>
      <c r="H18" s="84" t="e">
        <f t="shared" si="1"/>
        <v>#REF!</v>
      </c>
      <c r="I18" s="760">
        <v>1</v>
      </c>
      <c r="J18" s="760" t="s">
        <v>351</v>
      </c>
      <c r="K18" s="21">
        <f t="shared" si="0"/>
        <v>1000</v>
      </c>
    </row>
    <row r="19" spans="1:11">
      <c r="A19" s="760"/>
      <c r="B19" s="760"/>
      <c r="C19" s="760" t="s">
        <v>352</v>
      </c>
      <c r="D19" s="760" t="s">
        <v>324</v>
      </c>
      <c r="E19" s="9" t="s">
        <v>348</v>
      </c>
      <c r="F19" s="83">
        <v>9000</v>
      </c>
      <c r="G19" s="83"/>
      <c r="H19" s="84" t="e">
        <f t="shared" si="1"/>
        <v>#REF!</v>
      </c>
      <c r="I19" s="760">
        <v>1</v>
      </c>
      <c r="J19" s="760" t="s">
        <v>353</v>
      </c>
      <c r="K19" s="21">
        <f t="shared" si="0"/>
        <v>9000</v>
      </c>
    </row>
    <row r="20" spans="1:11">
      <c r="A20" s="760"/>
      <c r="B20" s="760"/>
      <c r="C20" s="760"/>
      <c r="D20" s="760"/>
      <c r="E20" s="9"/>
      <c r="F20" s="83"/>
      <c r="G20" s="83"/>
      <c r="H20" s="84"/>
      <c r="I20" s="760"/>
      <c r="J20" s="760"/>
      <c r="K20" s="21"/>
    </row>
    <row r="21" spans="1:11">
      <c r="A21" s="760"/>
      <c r="B21" s="760"/>
      <c r="C21" s="62" t="str">
        <f>'Detalle Equipamiento y software'!B72</f>
        <v>Trazabilidad - Servicios desarrollo software</v>
      </c>
      <c r="D21" s="760" t="s">
        <v>324</v>
      </c>
      <c r="E21" s="9" t="s">
        <v>354</v>
      </c>
      <c r="F21" s="83"/>
      <c r="G21" s="83">
        <f>'Detalle Equipamiento y software'!F72</f>
        <v>3042404.6016000002</v>
      </c>
      <c r="H21" s="84" t="e">
        <f>TC</f>
        <v>#REF!</v>
      </c>
      <c r="I21" s="760">
        <v>1</v>
      </c>
      <c r="J21" s="760" t="s">
        <v>355</v>
      </c>
      <c r="K21" s="21" t="e">
        <f t="shared" si="0"/>
        <v>#REF!</v>
      </c>
    </row>
    <row r="22" spans="1:11">
      <c r="A22" s="760"/>
      <c r="B22" s="760"/>
      <c r="C22" s="62" t="s">
        <v>356</v>
      </c>
      <c r="D22" s="760" t="s">
        <v>324</v>
      </c>
      <c r="E22" s="9" t="s">
        <v>354</v>
      </c>
      <c r="F22" s="83"/>
      <c r="G22" s="83">
        <v>55000</v>
      </c>
      <c r="H22" s="84">
        <v>3.3</v>
      </c>
      <c r="I22" s="760">
        <v>1</v>
      </c>
      <c r="J22" s="760" t="s">
        <v>357</v>
      </c>
      <c r="K22" s="21">
        <f t="shared" si="0"/>
        <v>181500</v>
      </c>
    </row>
    <row r="23" spans="1:11">
      <c r="A23" s="760"/>
      <c r="B23" s="760"/>
      <c r="C23" s="760"/>
      <c r="D23" s="760"/>
      <c r="E23" s="52"/>
      <c r="F23" s="42"/>
      <c r="G23" s="42"/>
      <c r="H23" s="84"/>
      <c r="I23" s="760"/>
      <c r="J23" s="760"/>
      <c r="K23" s="21">
        <f t="shared" si="0"/>
        <v>0</v>
      </c>
    </row>
    <row r="24" spans="1:11">
      <c r="A24" s="760"/>
      <c r="B24" s="760"/>
      <c r="C24" s="760" t="s">
        <v>358</v>
      </c>
      <c r="D24" s="760" t="s">
        <v>324</v>
      </c>
      <c r="E24" s="9" t="s">
        <v>359</v>
      </c>
      <c r="F24" s="62">
        <v>30</v>
      </c>
      <c r="G24" s="62"/>
      <c r="H24" s="84" t="e">
        <f t="shared" si="1"/>
        <v>#REF!</v>
      </c>
      <c r="I24" s="760">
        <v>1</v>
      </c>
      <c r="J24" s="760" t="s">
        <v>360</v>
      </c>
      <c r="K24" s="21">
        <f t="shared" si="0"/>
        <v>30</v>
      </c>
    </row>
    <row r="25" spans="1:11">
      <c r="A25" s="760"/>
      <c r="B25" s="760"/>
      <c r="C25" s="760"/>
      <c r="D25" s="760"/>
      <c r="E25" s="760"/>
      <c r="F25" s="62"/>
      <c r="G25" s="62"/>
      <c r="H25" s="760"/>
      <c r="I25" s="760"/>
      <c r="J25" s="760"/>
      <c r="K25" s="760"/>
    </row>
    <row r="26" spans="1:11">
      <c r="A26" s="760" t="s">
        <v>361</v>
      </c>
      <c r="B26" s="760"/>
      <c r="C26" s="760" t="s">
        <v>362</v>
      </c>
      <c r="D26" s="760" t="s">
        <v>153</v>
      </c>
      <c r="E26" s="760" t="s">
        <v>363</v>
      </c>
      <c r="F26" s="83"/>
      <c r="G26" s="83">
        <v>3000</v>
      </c>
      <c r="H26" s="84" t="e">
        <f>TC</f>
        <v>#REF!</v>
      </c>
      <c r="I26" s="760">
        <v>1</v>
      </c>
      <c r="J26" s="760" t="s">
        <v>364</v>
      </c>
      <c r="K26" s="21" t="e">
        <f t="shared" ref="K26:K61" si="2">IF(G26&gt;0,G26*H26*I26,F26*I26)</f>
        <v>#REF!</v>
      </c>
    </row>
    <row r="27" spans="1:11">
      <c r="A27" s="760"/>
      <c r="B27" s="760"/>
      <c r="C27" s="760" t="s">
        <v>365</v>
      </c>
      <c r="D27" s="760" t="s">
        <v>153</v>
      </c>
      <c r="E27" s="760" t="s">
        <v>363</v>
      </c>
      <c r="F27" s="83"/>
      <c r="G27" s="83">
        <v>5000</v>
      </c>
      <c r="H27" s="84" t="e">
        <f>TC</f>
        <v>#REF!</v>
      </c>
      <c r="I27" s="760">
        <v>1</v>
      </c>
      <c r="J27" s="760" t="s">
        <v>366</v>
      </c>
      <c r="K27" s="21" t="e">
        <f t="shared" si="2"/>
        <v>#REF!</v>
      </c>
    </row>
    <row r="28" spans="1:11">
      <c r="A28" s="760"/>
      <c r="B28" s="760"/>
      <c r="C28" s="760" t="s">
        <v>367</v>
      </c>
      <c r="D28" s="760" t="s">
        <v>153</v>
      </c>
      <c r="E28" s="760" t="s">
        <v>363</v>
      </c>
      <c r="F28" s="83">
        <v>3000</v>
      </c>
      <c r="G28" s="83"/>
      <c r="H28" s="84" t="e">
        <f>TC</f>
        <v>#REF!</v>
      </c>
      <c r="I28" s="760">
        <v>1</v>
      </c>
      <c r="J28" s="760" t="s">
        <v>368</v>
      </c>
      <c r="K28" s="21">
        <f t="shared" si="2"/>
        <v>3000</v>
      </c>
    </row>
    <row r="29" spans="1:11">
      <c r="A29" s="760"/>
      <c r="B29" s="760"/>
      <c r="C29" s="760" t="s">
        <v>369</v>
      </c>
      <c r="D29" s="760" t="s">
        <v>334</v>
      </c>
      <c r="E29" s="760" t="s">
        <v>370</v>
      </c>
      <c r="F29" s="83"/>
      <c r="G29" s="42">
        <f>'Detalle Equipamiento y software'!F3</f>
        <v>12745314</v>
      </c>
      <c r="H29" s="84" t="e">
        <f>TC</f>
        <v>#REF!</v>
      </c>
      <c r="I29" s="760">
        <v>1</v>
      </c>
      <c r="J29" s="760" t="s">
        <v>371</v>
      </c>
      <c r="K29" s="21" t="e">
        <f t="shared" si="2"/>
        <v>#REF!</v>
      </c>
    </row>
    <row r="30" spans="1:11">
      <c r="A30" s="760"/>
      <c r="B30" s="760"/>
      <c r="C30" s="760" t="s">
        <v>372</v>
      </c>
      <c r="D30" s="760" t="s">
        <v>334</v>
      </c>
      <c r="E30" s="760" t="s">
        <v>370</v>
      </c>
      <c r="F30" s="83"/>
      <c r="G30" s="42">
        <f>'Detalle Equipamiento y software'!F29</f>
        <v>9600000</v>
      </c>
      <c r="H30" s="84" t="e">
        <f>TC</f>
        <v>#REF!</v>
      </c>
      <c r="I30" s="760">
        <v>1</v>
      </c>
      <c r="J30" s="760" t="s">
        <v>373</v>
      </c>
      <c r="K30" s="21" t="e">
        <f t="shared" si="2"/>
        <v>#REF!</v>
      </c>
    </row>
    <row r="31" spans="1:11">
      <c r="A31" s="760"/>
      <c r="B31" s="760"/>
      <c r="C31" s="760" t="s">
        <v>374</v>
      </c>
      <c r="D31" s="760" t="s">
        <v>334</v>
      </c>
      <c r="E31" s="760" t="s">
        <v>370</v>
      </c>
      <c r="F31" s="83"/>
      <c r="G31" s="42">
        <f>'Detalle Equipamiento y software'!F40</f>
        <v>2581520</v>
      </c>
      <c r="H31" s="84">
        <v>3.3</v>
      </c>
      <c r="I31" s="760">
        <v>1</v>
      </c>
      <c r="J31" s="760" t="s">
        <v>375</v>
      </c>
      <c r="K31" s="21">
        <f t="shared" si="2"/>
        <v>8519016</v>
      </c>
    </row>
    <row r="32" spans="1:11">
      <c r="A32" s="760"/>
      <c r="B32" s="760"/>
      <c r="C32" s="760" t="s">
        <v>376</v>
      </c>
      <c r="D32" s="760" t="s">
        <v>334</v>
      </c>
      <c r="E32" s="760" t="s">
        <v>370</v>
      </c>
      <c r="F32" s="83"/>
      <c r="G32" s="42">
        <f>'Detalle Equipamiento y software'!F55</f>
        <v>513600</v>
      </c>
      <c r="H32" s="84">
        <v>3.3</v>
      </c>
      <c r="I32" s="760">
        <v>1</v>
      </c>
      <c r="J32" s="760" t="s">
        <v>377</v>
      </c>
      <c r="K32" s="21">
        <f t="shared" si="2"/>
        <v>1694880</v>
      </c>
    </row>
    <row r="33" spans="1:11">
      <c r="A33" s="760"/>
      <c r="B33" s="760"/>
      <c r="C33" s="760" t="s">
        <v>378</v>
      </c>
      <c r="D33" s="760" t="s">
        <v>334</v>
      </c>
      <c r="E33" s="760" t="s">
        <v>370</v>
      </c>
      <c r="F33" s="83"/>
      <c r="G33" s="42">
        <f>'Detalle Equipamiento y software'!F45+'Detalle Equipamiento y software'!F48+'Detalle Equipamiento y software'!F51+'Detalle Equipamiento y software'!F53+'Detalle Equipamiento y software'!F57</f>
        <v>2067920</v>
      </c>
      <c r="H33" s="84">
        <v>3.3</v>
      </c>
      <c r="I33" s="760">
        <v>1</v>
      </c>
      <c r="J33" s="760" t="s">
        <v>379</v>
      </c>
      <c r="K33" s="21">
        <f t="shared" si="2"/>
        <v>6824136</v>
      </c>
    </row>
    <row r="34" spans="1:11">
      <c r="A34" s="760"/>
      <c r="B34" s="760"/>
      <c r="C34" s="760" t="s">
        <v>380</v>
      </c>
      <c r="D34" s="760" t="s">
        <v>334</v>
      </c>
      <c r="E34" s="760" t="s">
        <v>370</v>
      </c>
      <c r="F34" s="83"/>
      <c r="G34" s="319">
        <v>0</v>
      </c>
      <c r="H34" s="84">
        <v>3.3</v>
      </c>
      <c r="I34" s="760">
        <v>1</v>
      </c>
      <c r="J34" s="760" t="s">
        <v>381</v>
      </c>
      <c r="K34" s="21">
        <f t="shared" si="2"/>
        <v>0</v>
      </c>
    </row>
    <row r="35" spans="1:11">
      <c r="A35" s="760"/>
      <c r="B35" s="760"/>
      <c r="C35" s="760"/>
      <c r="D35" s="760"/>
      <c r="E35" s="760"/>
      <c r="F35" s="83"/>
      <c r="G35" s="83"/>
      <c r="H35" s="84"/>
      <c r="I35" s="760"/>
      <c r="J35" s="760"/>
      <c r="K35" s="21"/>
    </row>
    <row r="36" spans="1:11">
      <c r="A36" s="760" t="s">
        <v>382</v>
      </c>
      <c r="B36" s="760"/>
      <c r="C36" s="760" t="s">
        <v>383</v>
      </c>
      <c r="D36" s="760" t="s">
        <v>153</v>
      </c>
      <c r="E36" s="760" t="s">
        <v>354</v>
      </c>
      <c r="F36" s="42"/>
      <c r="G36" s="42">
        <f>'Detalle Equipamiento y software'!F76</f>
        <v>120806.40000000001</v>
      </c>
      <c r="H36" s="84" t="e">
        <f t="shared" ref="H36:H45" si="3">TC</f>
        <v>#REF!</v>
      </c>
      <c r="I36" s="760">
        <v>1</v>
      </c>
      <c r="J36" s="760" t="s">
        <v>384</v>
      </c>
      <c r="K36" s="21" t="e">
        <f t="shared" si="2"/>
        <v>#REF!</v>
      </c>
    </row>
    <row r="37" spans="1:11">
      <c r="A37" s="760"/>
      <c r="B37" s="760"/>
      <c r="C37" s="760" t="s">
        <v>385</v>
      </c>
      <c r="D37" s="760" t="s">
        <v>153</v>
      </c>
      <c r="E37" s="760" t="s">
        <v>354</v>
      </c>
      <c r="F37" s="42"/>
      <c r="G37" s="42">
        <f>'Detalle Equipamiento y software'!F77</f>
        <v>115315.2</v>
      </c>
      <c r="H37" s="84" t="e">
        <f t="shared" si="3"/>
        <v>#REF!</v>
      </c>
      <c r="I37" s="760">
        <v>1</v>
      </c>
      <c r="J37" s="760" t="s">
        <v>386</v>
      </c>
      <c r="K37" s="21" t="e">
        <f t="shared" si="2"/>
        <v>#REF!</v>
      </c>
    </row>
    <row r="38" spans="1:11">
      <c r="A38" s="760"/>
      <c r="B38" s="760"/>
      <c r="C38" s="760" t="s">
        <v>387</v>
      </c>
      <c r="D38" s="760" t="s">
        <v>153</v>
      </c>
      <c r="E38" s="760" t="s">
        <v>354</v>
      </c>
      <c r="F38" s="42"/>
      <c r="G38" s="42">
        <f>'Detalle Equipamiento y software'!F79</f>
        <v>1121577.6000000001</v>
      </c>
      <c r="H38" s="84" t="e">
        <f t="shared" si="3"/>
        <v>#REF!</v>
      </c>
      <c r="I38" s="760">
        <v>1</v>
      </c>
      <c r="J38" s="760" t="s">
        <v>388</v>
      </c>
      <c r="K38" s="21" t="e">
        <f t="shared" si="2"/>
        <v>#REF!</v>
      </c>
    </row>
    <row r="39" spans="1:11">
      <c r="A39" s="760"/>
      <c r="B39" s="760"/>
      <c r="C39" s="760" t="s">
        <v>389</v>
      </c>
      <c r="D39" s="760" t="s">
        <v>153</v>
      </c>
      <c r="E39" s="760" t="s">
        <v>354</v>
      </c>
      <c r="F39" s="42"/>
      <c r="G39" s="42">
        <f>'Detalle Equipamiento y software'!F83</f>
        <v>165880</v>
      </c>
      <c r="H39" s="84" t="e">
        <f t="shared" si="3"/>
        <v>#REF!</v>
      </c>
      <c r="I39" s="760">
        <v>1</v>
      </c>
      <c r="J39" s="760" t="s">
        <v>390</v>
      </c>
      <c r="K39" s="21" t="e">
        <f t="shared" si="2"/>
        <v>#REF!</v>
      </c>
    </row>
    <row r="40" spans="1:11">
      <c r="A40" s="760"/>
      <c r="B40" s="760"/>
      <c r="C40" s="760" t="s">
        <v>391</v>
      </c>
      <c r="D40" s="760" t="s">
        <v>153</v>
      </c>
      <c r="E40" s="760" t="s">
        <v>354</v>
      </c>
      <c r="F40" s="42"/>
      <c r="G40" s="42">
        <f>'Detalle Equipamiento y software'!F84</f>
        <v>259688</v>
      </c>
      <c r="H40" s="84" t="e">
        <f t="shared" si="3"/>
        <v>#REF!</v>
      </c>
      <c r="I40" s="760">
        <v>1</v>
      </c>
      <c r="J40" s="760" t="s">
        <v>392</v>
      </c>
      <c r="K40" s="21" t="e">
        <f t="shared" si="2"/>
        <v>#REF!</v>
      </c>
    </row>
    <row r="41" spans="1:11">
      <c r="A41" s="760"/>
      <c r="B41" s="760"/>
      <c r="C41" s="760" t="s">
        <v>393</v>
      </c>
      <c r="D41" s="760" t="s">
        <v>334</v>
      </c>
      <c r="E41" s="760" t="s">
        <v>354</v>
      </c>
      <c r="F41" s="42"/>
      <c r="G41" s="42">
        <f>'Detalle Equipamiento y software'!F85+'Detalle Equipamiento y software'!F87</f>
        <v>976569.40159999998</v>
      </c>
      <c r="H41" s="84" t="e">
        <f t="shared" si="3"/>
        <v>#REF!</v>
      </c>
      <c r="I41" s="760">
        <v>1</v>
      </c>
      <c r="J41" s="760" t="s">
        <v>394</v>
      </c>
      <c r="K41" s="21" t="e">
        <f t="shared" si="2"/>
        <v>#REF!</v>
      </c>
    </row>
    <row r="42" spans="1:11">
      <c r="A42" s="760"/>
      <c r="B42" s="760"/>
      <c r="C42" s="760"/>
      <c r="D42" s="760"/>
      <c r="E42" s="760"/>
      <c r="F42" s="42"/>
      <c r="G42" s="42"/>
      <c r="H42" s="84"/>
      <c r="I42" s="760"/>
      <c r="J42" s="760"/>
      <c r="K42" s="21"/>
    </row>
    <row r="43" spans="1:11" ht="39.6">
      <c r="A43" s="760"/>
      <c r="B43" s="760"/>
      <c r="C43" s="290" t="str">
        <f>'Detalle Equipamiento y software'!B110</f>
        <v>Servicios informáticos para la implementacion de un Centro de monitoreo virtual (control transversal)</v>
      </c>
      <c r="D43" s="760" t="s">
        <v>153</v>
      </c>
      <c r="E43" s="760" t="s">
        <v>354</v>
      </c>
      <c r="F43" s="83"/>
      <c r="G43" s="62">
        <f>'Detalle Equipamiento y software'!F106</f>
        <v>0</v>
      </c>
      <c r="H43" s="84" t="e">
        <f t="shared" si="3"/>
        <v>#REF!</v>
      </c>
      <c r="I43" s="760">
        <v>1</v>
      </c>
      <c r="J43" s="760" t="s">
        <v>395</v>
      </c>
      <c r="K43" s="21">
        <f t="shared" si="2"/>
        <v>0</v>
      </c>
    </row>
    <row r="44" spans="1:11">
      <c r="A44" s="760"/>
      <c r="B44" s="760"/>
      <c r="C44" s="290" t="s">
        <v>396</v>
      </c>
      <c r="D44" s="760" t="s">
        <v>153</v>
      </c>
      <c r="E44" s="760" t="s">
        <v>363</v>
      </c>
      <c r="F44" s="83"/>
      <c r="G44" s="83">
        <v>10350</v>
      </c>
      <c r="H44" s="84" t="e">
        <f t="shared" si="3"/>
        <v>#REF!</v>
      </c>
      <c r="I44" s="760">
        <v>1</v>
      </c>
      <c r="J44" s="760" t="s">
        <v>397</v>
      </c>
      <c r="K44" s="21" t="e">
        <f t="shared" si="2"/>
        <v>#REF!</v>
      </c>
    </row>
    <row r="45" spans="1:11">
      <c r="A45" s="760"/>
      <c r="B45" s="760"/>
      <c r="C45" s="290" t="s">
        <v>398</v>
      </c>
      <c r="D45" s="760" t="s">
        <v>153</v>
      </c>
      <c r="E45" s="760" t="s">
        <v>363</v>
      </c>
      <c r="F45" s="83"/>
      <c r="G45" s="83">
        <v>0</v>
      </c>
      <c r="H45" s="84" t="e">
        <f t="shared" si="3"/>
        <v>#REF!</v>
      </c>
      <c r="I45" s="760">
        <v>1</v>
      </c>
      <c r="J45" s="760" t="s">
        <v>399</v>
      </c>
      <c r="K45" s="21">
        <f t="shared" si="2"/>
        <v>0</v>
      </c>
    </row>
    <row r="46" spans="1:11">
      <c r="A46" s="760"/>
      <c r="B46" s="760"/>
      <c r="C46" s="290"/>
      <c r="D46" s="760"/>
      <c r="E46" s="760"/>
      <c r="F46" s="83"/>
      <c r="G46" s="83"/>
      <c r="H46" s="84"/>
      <c r="I46" s="760"/>
      <c r="J46" s="760"/>
      <c r="K46" s="21"/>
    </row>
    <row r="47" spans="1:11">
      <c r="A47" s="760"/>
      <c r="B47" s="760"/>
      <c r="C47" s="760"/>
      <c r="D47" s="760"/>
      <c r="E47" s="760"/>
      <c r="F47" s="760"/>
      <c r="G47" s="760"/>
      <c r="H47" s="760"/>
      <c r="I47" s="760"/>
      <c r="J47" s="760"/>
      <c r="K47" s="21"/>
    </row>
    <row r="48" spans="1:11">
      <c r="A48" s="760"/>
      <c r="B48" s="760"/>
      <c r="C48" s="760"/>
      <c r="D48" s="760"/>
      <c r="E48" s="760"/>
      <c r="F48" s="760"/>
      <c r="G48" s="760"/>
      <c r="H48" s="760"/>
      <c r="I48" s="760"/>
      <c r="J48" s="760"/>
      <c r="K48" s="21"/>
    </row>
    <row r="49" spans="1:11">
      <c r="A49" s="760"/>
      <c r="B49" s="760"/>
      <c r="C49" s="760"/>
      <c r="D49" s="760"/>
      <c r="E49" s="760"/>
      <c r="F49" s="760"/>
      <c r="G49" s="760"/>
      <c r="H49" s="760"/>
      <c r="I49" s="760"/>
      <c r="J49" s="760"/>
      <c r="K49" s="21"/>
    </row>
    <row r="50" spans="1:11">
      <c r="A50" s="760"/>
      <c r="B50" s="760"/>
      <c r="C50" s="760" t="s">
        <v>400</v>
      </c>
      <c r="D50" s="760" t="s">
        <v>324</v>
      </c>
      <c r="E50" s="760" t="s">
        <v>363</v>
      </c>
      <c r="F50" s="62"/>
      <c r="G50" s="62">
        <v>5000</v>
      </c>
      <c r="H50" s="84" t="e">
        <f>TC</f>
        <v>#REF!</v>
      </c>
      <c r="I50" s="760">
        <v>1</v>
      </c>
      <c r="J50" s="760" t="s">
        <v>401</v>
      </c>
      <c r="K50" s="21" t="e">
        <f t="shared" si="2"/>
        <v>#REF!</v>
      </c>
    </row>
    <row r="51" spans="1:11">
      <c r="A51" s="760"/>
      <c r="B51" s="760"/>
      <c r="C51" s="760" t="s">
        <v>402</v>
      </c>
      <c r="D51" s="760" t="s">
        <v>324</v>
      </c>
      <c r="E51" s="760" t="s">
        <v>363</v>
      </c>
      <c r="F51" s="62"/>
      <c r="G51" s="62">
        <v>5000</v>
      </c>
      <c r="H51" s="84" t="e">
        <f>TC</f>
        <v>#REF!</v>
      </c>
      <c r="I51" s="760">
        <v>1</v>
      </c>
      <c r="J51" s="760" t="s">
        <v>403</v>
      </c>
      <c r="K51" s="21" t="e">
        <f t="shared" si="2"/>
        <v>#REF!</v>
      </c>
    </row>
    <row r="52" spans="1:11">
      <c r="A52" s="760"/>
      <c r="B52" s="760"/>
      <c r="C52" s="760" t="s">
        <v>404</v>
      </c>
      <c r="D52" s="760" t="s">
        <v>324</v>
      </c>
      <c r="E52" s="760" t="s">
        <v>370</v>
      </c>
      <c r="F52" s="62"/>
      <c r="G52" s="62">
        <v>30000</v>
      </c>
      <c r="H52" s="84" t="e">
        <f>TC</f>
        <v>#REF!</v>
      </c>
      <c r="I52" s="760">
        <v>1</v>
      </c>
      <c r="J52" s="760" t="s">
        <v>405</v>
      </c>
      <c r="K52" s="21" t="e">
        <f t="shared" si="2"/>
        <v>#REF!</v>
      </c>
    </row>
    <row r="53" spans="1:11">
      <c r="A53" s="760"/>
      <c r="B53" s="760"/>
      <c r="C53" s="760" t="s">
        <v>406</v>
      </c>
      <c r="D53" s="760" t="s">
        <v>324</v>
      </c>
      <c r="E53" s="760" t="s">
        <v>370</v>
      </c>
      <c r="F53" s="62"/>
      <c r="G53" s="62">
        <v>45000</v>
      </c>
      <c r="H53" s="84" t="e">
        <f>TC</f>
        <v>#REF!</v>
      </c>
      <c r="I53" s="760">
        <v>1</v>
      </c>
      <c r="J53" s="760" t="s">
        <v>407</v>
      </c>
      <c r="K53" s="21" t="e">
        <f t="shared" si="2"/>
        <v>#REF!</v>
      </c>
    </row>
    <row r="54" spans="1:11">
      <c r="A54" s="760"/>
      <c r="B54" s="760"/>
      <c r="C54" s="760"/>
      <c r="D54" s="760"/>
      <c r="E54" s="760"/>
      <c r="F54" s="62"/>
      <c r="G54" s="62"/>
      <c r="H54" s="84"/>
      <c r="I54" s="760"/>
      <c r="J54" s="760"/>
      <c r="K54" s="21"/>
    </row>
    <row r="55" spans="1:11">
      <c r="A55" s="760"/>
      <c r="B55" s="760"/>
      <c r="C55" s="760"/>
      <c r="D55" s="760"/>
      <c r="E55" s="760"/>
      <c r="F55" s="62"/>
      <c r="G55" s="62"/>
      <c r="H55" s="84"/>
      <c r="I55" s="760"/>
      <c r="J55" s="760"/>
      <c r="K55" s="21"/>
    </row>
    <row r="56" spans="1:11">
      <c r="A56" s="760"/>
      <c r="B56" s="760"/>
      <c r="C56" s="760"/>
      <c r="D56" s="760"/>
      <c r="E56" s="760"/>
      <c r="F56" s="62"/>
      <c r="G56" s="62"/>
      <c r="H56" s="84"/>
      <c r="I56" s="760"/>
      <c r="J56" s="760"/>
      <c r="K56" s="21"/>
    </row>
    <row r="57" spans="1:11">
      <c r="A57" s="760"/>
      <c r="B57" s="760"/>
      <c r="C57" s="760"/>
      <c r="D57" s="760"/>
      <c r="E57" s="760"/>
      <c r="F57" s="62"/>
      <c r="G57" s="62"/>
      <c r="H57" s="84"/>
      <c r="I57" s="760"/>
      <c r="J57" s="760"/>
      <c r="K57" s="21"/>
    </row>
    <row r="58" spans="1:11">
      <c r="A58" s="760"/>
      <c r="B58" s="760"/>
      <c r="C58" s="760"/>
      <c r="D58" s="760"/>
      <c r="E58" s="760"/>
      <c r="F58" s="62"/>
      <c r="G58" s="62"/>
      <c r="H58" s="84"/>
      <c r="I58" s="760"/>
      <c r="J58" s="760"/>
      <c r="K58" s="21"/>
    </row>
    <row r="59" spans="1:11">
      <c r="A59" s="760"/>
      <c r="B59" s="760"/>
      <c r="C59" s="760"/>
      <c r="D59" s="760"/>
      <c r="E59" s="760"/>
      <c r="F59" s="62"/>
      <c r="G59" s="62"/>
      <c r="H59" s="84"/>
      <c r="I59" s="760"/>
      <c r="J59" s="760"/>
      <c r="K59" s="21"/>
    </row>
    <row r="60" spans="1:11">
      <c r="A60" s="760"/>
      <c r="B60" s="760"/>
      <c r="C60" s="760"/>
      <c r="D60" s="760"/>
      <c r="E60" s="760"/>
      <c r="F60" s="62"/>
      <c r="G60" s="62"/>
      <c r="H60" s="84" t="e">
        <f>TC</f>
        <v>#REF!</v>
      </c>
      <c r="I60" s="760">
        <v>1</v>
      </c>
      <c r="J60" s="760"/>
      <c r="K60" s="21">
        <f t="shared" si="2"/>
        <v>0</v>
      </c>
    </row>
    <row r="61" spans="1:11">
      <c r="A61" s="760" t="s">
        <v>408</v>
      </c>
      <c r="B61" s="760"/>
      <c r="C61" s="760" t="s">
        <v>409</v>
      </c>
      <c r="D61" s="760" t="s">
        <v>153</v>
      </c>
      <c r="E61" s="760" t="s">
        <v>363</v>
      </c>
      <c r="F61" s="83">
        <f>1500</f>
        <v>1500</v>
      </c>
      <c r="G61" s="83"/>
      <c r="H61" s="84" t="e">
        <f>TC</f>
        <v>#REF!</v>
      </c>
      <c r="I61" s="760">
        <v>1</v>
      </c>
      <c r="J61" s="760" t="s">
        <v>410</v>
      </c>
      <c r="K61" s="21">
        <f t="shared" si="2"/>
        <v>1500</v>
      </c>
    </row>
    <row r="62" spans="1:11">
      <c r="A62" s="760"/>
      <c r="B62" s="760"/>
      <c r="C62" s="760"/>
      <c r="D62" s="760"/>
      <c r="E62" s="760"/>
      <c r="F62" s="62"/>
      <c r="G62" s="62"/>
      <c r="H62" s="760"/>
      <c r="I62" s="760"/>
      <c r="J62" s="760"/>
      <c r="K62" s="760"/>
    </row>
    <row r="63" spans="1:11">
      <c r="A63" s="760"/>
      <c r="B63" s="760"/>
      <c r="C63" s="760"/>
      <c r="D63" s="760"/>
      <c r="E63" s="760"/>
      <c r="F63" s="62"/>
      <c r="G63" s="62"/>
      <c r="H63" s="760"/>
      <c r="I63" s="760"/>
      <c r="J63" s="760"/>
      <c r="K63" s="760"/>
    </row>
    <row r="64" spans="1:11">
      <c r="A64" s="760"/>
      <c r="B64" s="760"/>
      <c r="C64" s="760"/>
      <c r="D64" s="760"/>
      <c r="E64" s="760"/>
      <c r="F64" s="62"/>
      <c r="G64" s="62"/>
      <c r="H64" s="760"/>
      <c r="I64" s="760"/>
      <c r="J64" s="760"/>
      <c r="K64" s="21"/>
    </row>
    <row r="65" spans="1:11">
      <c r="A65" s="760" t="s">
        <v>411</v>
      </c>
      <c r="B65" s="760"/>
      <c r="C65" s="760" t="s">
        <v>412</v>
      </c>
      <c r="D65" s="760" t="s">
        <v>153</v>
      </c>
      <c r="E65" s="760" t="s">
        <v>413</v>
      </c>
      <c r="F65" s="83"/>
      <c r="G65" s="83">
        <f>25*12</f>
        <v>300</v>
      </c>
      <c r="H65" s="84" t="e">
        <f t="shared" ref="H65:H82" si="4">TC</f>
        <v>#REF!</v>
      </c>
      <c r="I65" s="760">
        <v>1</v>
      </c>
      <c r="J65" s="760" t="s">
        <v>414</v>
      </c>
      <c r="K65" s="21" t="e">
        <f t="shared" ref="K65:K84" si="5">IF(G65&gt;0,G65*H65*I65,F65*I65)</f>
        <v>#REF!</v>
      </c>
    </row>
    <row r="66" spans="1:11">
      <c r="A66" s="760"/>
      <c r="B66" s="760"/>
      <c r="C66" s="760" t="s">
        <v>415</v>
      </c>
      <c r="D66" s="760" t="s">
        <v>153</v>
      </c>
      <c r="E66" s="760" t="s">
        <v>416</v>
      </c>
      <c r="F66" s="83">
        <f>400*12</f>
        <v>4800</v>
      </c>
      <c r="G66" s="83"/>
      <c r="H66" s="84" t="e">
        <f t="shared" si="4"/>
        <v>#REF!</v>
      </c>
      <c r="I66" s="760">
        <v>1</v>
      </c>
      <c r="J66" s="760" t="s">
        <v>417</v>
      </c>
      <c r="K66" s="21">
        <f t="shared" si="5"/>
        <v>4800</v>
      </c>
    </row>
    <row r="67" spans="1:11">
      <c r="A67" s="760"/>
      <c r="B67" s="760"/>
      <c r="C67" s="760" t="s">
        <v>418</v>
      </c>
      <c r="D67" s="760" t="s">
        <v>153</v>
      </c>
      <c r="E67" s="760" t="s">
        <v>419</v>
      </c>
      <c r="F67" s="83">
        <f>25*25*1.18</f>
        <v>737.5</v>
      </c>
      <c r="G67" s="83"/>
      <c r="H67" s="84" t="e">
        <f t="shared" si="4"/>
        <v>#REF!</v>
      </c>
      <c r="I67" s="760">
        <v>1</v>
      </c>
      <c r="J67" s="760" t="s">
        <v>420</v>
      </c>
      <c r="K67" s="21">
        <f t="shared" si="5"/>
        <v>737.5</v>
      </c>
    </row>
    <row r="68" spans="1:11">
      <c r="A68" s="760"/>
      <c r="B68" s="760"/>
      <c r="C68" s="760" t="s">
        <v>421</v>
      </c>
      <c r="D68" s="760" t="s">
        <v>153</v>
      </c>
      <c r="E68" s="760" t="s">
        <v>422</v>
      </c>
      <c r="F68" s="83">
        <v>500</v>
      </c>
      <c r="G68" s="83"/>
      <c r="H68" s="84" t="e">
        <f t="shared" si="4"/>
        <v>#REF!</v>
      </c>
      <c r="I68" s="760">
        <v>1</v>
      </c>
      <c r="J68" s="760" t="s">
        <v>423</v>
      </c>
      <c r="K68" s="21">
        <f t="shared" si="5"/>
        <v>500</v>
      </c>
    </row>
    <row r="69" spans="1:11">
      <c r="A69" s="760"/>
      <c r="B69" s="760"/>
      <c r="C69" s="760" t="s">
        <v>424</v>
      </c>
      <c r="D69" s="760" t="s">
        <v>153</v>
      </c>
      <c r="E69" s="760" t="s">
        <v>422</v>
      </c>
      <c r="F69" s="83">
        <v>80</v>
      </c>
      <c r="G69" s="83"/>
      <c r="H69" s="84" t="e">
        <f t="shared" si="4"/>
        <v>#REF!</v>
      </c>
      <c r="I69" s="760">
        <v>1</v>
      </c>
      <c r="J69" s="760" t="s">
        <v>425</v>
      </c>
      <c r="K69" s="21">
        <f t="shared" si="5"/>
        <v>80</v>
      </c>
    </row>
    <row r="70" spans="1:11">
      <c r="A70" s="760"/>
      <c r="B70" s="760"/>
      <c r="C70" s="760" t="s">
        <v>426</v>
      </c>
      <c r="D70" s="760" t="s">
        <v>153</v>
      </c>
      <c r="E70" s="760" t="s">
        <v>422</v>
      </c>
      <c r="F70" s="82"/>
      <c r="G70" s="82">
        <f>300+70</f>
        <v>370</v>
      </c>
      <c r="H70" s="84" t="e">
        <f t="shared" si="4"/>
        <v>#REF!</v>
      </c>
      <c r="I70" s="760">
        <v>1</v>
      </c>
      <c r="J70" s="760" t="s">
        <v>427</v>
      </c>
      <c r="K70" s="21" t="e">
        <f t="shared" si="5"/>
        <v>#REF!</v>
      </c>
    </row>
    <row r="71" spans="1:11">
      <c r="A71" s="760"/>
      <c r="B71" s="760"/>
      <c r="C71" s="760" t="s">
        <v>428</v>
      </c>
      <c r="D71" s="760" t="s">
        <v>153</v>
      </c>
      <c r="E71" s="760" t="s">
        <v>354</v>
      </c>
      <c r="F71" s="82"/>
      <c r="G71" s="82">
        <v>10000</v>
      </c>
      <c r="H71" s="84" t="e">
        <f t="shared" si="4"/>
        <v>#REF!</v>
      </c>
      <c r="I71" s="760">
        <v>1</v>
      </c>
      <c r="J71" s="760" t="s">
        <v>429</v>
      </c>
      <c r="K71" s="21" t="e">
        <f t="shared" si="5"/>
        <v>#REF!</v>
      </c>
    </row>
    <row r="72" spans="1:11">
      <c r="A72" s="760"/>
      <c r="B72" s="760"/>
      <c r="C72" s="760" t="s">
        <v>430</v>
      </c>
      <c r="D72" s="760" t="s">
        <v>153</v>
      </c>
      <c r="E72" s="760" t="s">
        <v>422</v>
      </c>
      <c r="F72" s="82"/>
      <c r="G72" s="82">
        <v>200</v>
      </c>
      <c r="H72" s="84" t="e">
        <f t="shared" si="4"/>
        <v>#REF!</v>
      </c>
      <c r="I72" s="760">
        <v>1</v>
      </c>
      <c r="J72" s="760" t="s">
        <v>431</v>
      </c>
      <c r="K72" s="21" t="e">
        <f t="shared" si="5"/>
        <v>#REF!</v>
      </c>
    </row>
    <row r="73" spans="1:11">
      <c r="A73" s="760"/>
      <c r="B73" s="760"/>
      <c r="C73" s="760" t="s">
        <v>432</v>
      </c>
      <c r="D73" s="760" t="s">
        <v>153</v>
      </c>
      <c r="E73" s="760" t="s">
        <v>422</v>
      </c>
      <c r="F73" s="82"/>
      <c r="G73" s="82">
        <v>7797</v>
      </c>
      <c r="H73" s="84" t="e">
        <f t="shared" si="4"/>
        <v>#REF!</v>
      </c>
      <c r="I73" s="760">
        <v>1</v>
      </c>
      <c r="J73" s="760" t="s">
        <v>433</v>
      </c>
      <c r="K73" s="21" t="e">
        <f t="shared" si="5"/>
        <v>#REF!</v>
      </c>
    </row>
    <row r="74" spans="1:11">
      <c r="A74" s="760"/>
      <c r="B74" s="760"/>
      <c r="C74" s="760" t="s">
        <v>434</v>
      </c>
      <c r="D74" s="760" t="s">
        <v>153</v>
      </c>
      <c r="E74" s="760" t="s">
        <v>354</v>
      </c>
      <c r="F74" s="82"/>
      <c r="G74" s="82">
        <v>46000</v>
      </c>
      <c r="H74" s="84" t="e">
        <f t="shared" si="4"/>
        <v>#REF!</v>
      </c>
      <c r="I74" s="760">
        <v>1</v>
      </c>
      <c r="J74" s="760" t="s">
        <v>435</v>
      </c>
      <c r="K74" s="21" t="e">
        <f t="shared" si="5"/>
        <v>#REF!</v>
      </c>
    </row>
    <row r="75" spans="1:11">
      <c r="A75" s="760"/>
      <c r="B75" s="760"/>
      <c r="C75" s="760" t="s">
        <v>436</v>
      </c>
      <c r="D75" s="760" t="s">
        <v>153</v>
      </c>
      <c r="E75" s="760" t="s">
        <v>422</v>
      </c>
      <c r="F75" s="82"/>
      <c r="G75" s="82">
        <v>4250</v>
      </c>
      <c r="H75" s="84" t="e">
        <f t="shared" si="4"/>
        <v>#REF!</v>
      </c>
      <c r="I75" s="760">
        <v>1</v>
      </c>
      <c r="J75" s="760" t="s">
        <v>437</v>
      </c>
      <c r="K75" s="21" t="e">
        <f t="shared" si="5"/>
        <v>#REF!</v>
      </c>
    </row>
    <row r="76" spans="1:11">
      <c r="A76" s="760"/>
      <c r="B76" s="760"/>
      <c r="C76" s="760" t="s">
        <v>438</v>
      </c>
      <c r="D76" s="760" t="s">
        <v>153</v>
      </c>
      <c r="E76" s="760" t="s">
        <v>315</v>
      </c>
      <c r="F76" s="760"/>
      <c r="G76" s="760">
        <f>200</f>
        <v>200</v>
      </c>
      <c r="H76" s="84" t="e">
        <f t="shared" si="4"/>
        <v>#REF!</v>
      </c>
      <c r="I76" s="760">
        <v>1</v>
      </c>
      <c r="J76" s="760" t="s">
        <v>439</v>
      </c>
      <c r="K76" s="21" t="e">
        <f t="shared" si="5"/>
        <v>#REF!</v>
      </c>
    </row>
    <row r="77" spans="1:11">
      <c r="A77" s="760"/>
      <c r="B77" s="760"/>
      <c r="C77" s="760" t="s">
        <v>440</v>
      </c>
      <c r="D77" s="760" t="s">
        <v>153</v>
      </c>
      <c r="E77" s="760" t="s">
        <v>419</v>
      </c>
      <c r="F77" s="760">
        <v>300</v>
      </c>
      <c r="G77" s="760"/>
      <c r="H77" s="84" t="e">
        <f t="shared" si="4"/>
        <v>#REF!</v>
      </c>
      <c r="I77" s="760">
        <v>1</v>
      </c>
      <c r="J77" s="760" t="s">
        <v>441</v>
      </c>
      <c r="K77" s="21">
        <f t="shared" si="5"/>
        <v>300</v>
      </c>
    </row>
    <row r="78" spans="1:11">
      <c r="A78" s="760"/>
      <c r="B78" s="760"/>
      <c r="C78" s="760" t="s">
        <v>442</v>
      </c>
      <c r="D78" s="760" t="s">
        <v>153</v>
      </c>
      <c r="E78" s="760" t="s">
        <v>315</v>
      </c>
      <c r="F78" s="760"/>
      <c r="G78" s="760">
        <v>1000</v>
      </c>
      <c r="H78" s="84" t="e">
        <f t="shared" si="4"/>
        <v>#REF!</v>
      </c>
      <c r="I78" s="760">
        <v>1</v>
      </c>
      <c r="J78" s="760" t="s">
        <v>443</v>
      </c>
      <c r="K78" s="21" t="e">
        <f t="shared" si="5"/>
        <v>#REF!</v>
      </c>
    </row>
    <row r="79" spans="1:11">
      <c r="A79" s="760"/>
      <c r="B79" s="760"/>
      <c r="C79" s="760" t="s">
        <v>444</v>
      </c>
      <c r="D79" s="760" t="s">
        <v>153</v>
      </c>
      <c r="E79" s="760" t="s">
        <v>419</v>
      </c>
      <c r="F79" s="760"/>
      <c r="G79" s="760">
        <v>200</v>
      </c>
      <c r="H79" s="84" t="e">
        <f t="shared" si="4"/>
        <v>#REF!</v>
      </c>
      <c r="I79" s="760">
        <v>1</v>
      </c>
      <c r="J79" s="760" t="s">
        <v>445</v>
      </c>
      <c r="K79" s="21" t="e">
        <f t="shared" si="5"/>
        <v>#REF!</v>
      </c>
    </row>
    <row r="81" spans="1:11">
      <c r="A81" s="760"/>
      <c r="B81" s="760"/>
      <c r="C81" s="760" t="s">
        <v>446</v>
      </c>
      <c r="D81" s="760" t="s">
        <v>153</v>
      </c>
      <c r="E81" s="760" t="s">
        <v>447</v>
      </c>
      <c r="F81" s="760"/>
      <c r="G81" s="760">
        <v>3000</v>
      </c>
      <c r="H81" s="84" t="e">
        <f>TC</f>
        <v>#REF!</v>
      </c>
      <c r="I81" s="760">
        <v>1</v>
      </c>
      <c r="J81" s="760" t="s">
        <v>448</v>
      </c>
      <c r="K81" s="21" t="e">
        <f t="shared" si="5"/>
        <v>#REF!</v>
      </c>
    </row>
    <row r="82" spans="1:11">
      <c r="A82" s="760"/>
      <c r="B82" s="760"/>
      <c r="C82" s="760" t="s">
        <v>449</v>
      </c>
      <c r="D82" s="760" t="s">
        <v>153</v>
      </c>
      <c r="E82" s="760" t="s">
        <v>447</v>
      </c>
      <c r="F82" s="760"/>
      <c r="G82" s="760">
        <v>1000</v>
      </c>
      <c r="H82" s="84" t="e">
        <f t="shared" si="4"/>
        <v>#REF!</v>
      </c>
      <c r="I82" s="760">
        <v>1</v>
      </c>
      <c r="J82" s="760" t="s">
        <v>450</v>
      </c>
      <c r="K82" s="21" t="e">
        <f t="shared" si="5"/>
        <v>#REF!</v>
      </c>
    </row>
    <row r="84" spans="1:11">
      <c r="A84" s="760"/>
      <c r="B84" s="760"/>
      <c r="C84" s="760" t="s">
        <v>451</v>
      </c>
      <c r="D84" s="760" t="s">
        <v>153</v>
      </c>
      <c r="E84" s="760" t="s">
        <v>354</v>
      </c>
      <c r="F84" s="760"/>
      <c r="G84" s="760">
        <v>10000</v>
      </c>
      <c r="H84" s="760">
        <v>3.3</v>
      </c>
      <c r="I84" s="760">
        <v>1</v>
      </c>
      <c r="J84" s="760" t="s">
        <v>452</v>
      </c>
      <c r="K84" s="21">
        <f t="shared" si="5"/>
        <v>33000</v>
      </c>
    </row>
    <row r="86" spans="1:11">
      <c r="A86" s="760" t="s">
        <v>453</v>
      </c>
      <c r="B86" s="760"/>
      <c r="C86" s="760" t="s">
        <v>454</v>
      </c>
      <c r="D86" s="760" t="s">
        <v>153</v>
      </c>
      <c r="E86" s="760" t="s">
        <v>455</v>
      </c>
      <c r="F86" s="760"/>
      <c r="G86" s="760">
        <v>700</v>
      </c>
      <c r="H86" s="84" t="e">
        <f>TC</f>
        <v>#REF!</v>
      </c>
      <c r="I86" s="760">
        <v>1</v>
      </c>
      <c r="J86" s="760" t="s">
        <v>456</v>
      </c>
      <c r="K86" s="21" t="e">
        <f>IF(G86&gt;0,G86*H86*I86,F86*I86)</f>
        <v>#REF!</v>
      </c>
    </row>
    <row r="87" spans="1:11">
      <c r="A87" s="760"/>
      <c r="B87" s="760"/>
      <c r="C87" s="760" t="s">
        <v>457</v>
      </c>
      <c r="D87" s="760" t="s">
        <v>153</v>
      </c>
      <c r="E87" s="760" t="s">
        <v>458</v>
      </c>
      <c r="F87" s="760">
        <v>4280</v>
      </c>
      <c r="G87" s="760"/>
      <c r="H87" s="760">
        <v>3.3</v>
      </c>
      <c r="I87" s="760">
        <v>1</v>
      </c>
      <c r="J87" s="760" t="s">
        <v>459</v>
      </c>
      <c r="K87" s="21">
        <f>IF(G87&gt;0,G87*H87*I87,F87*I87)</f>
        <v>4280</v>
      </c>
    </row>
    <row r="88" spans="1:11">
      <c r="A88" s="760"/>
      <c r="B88" s="760"/>
      <c r="C88" s="760" t="s">
        <v>460</v>
      </c>
      <c r="D88" s="760" t="s">
        <v>153</v>
      </c>
      <c r="E88" s="760" t="s">
        <v>354</v>
      </c>
      <c r="F88" s="760">
        <v>3000000</v>
      </c>
      <c r="G88" s="760"/>
      <c r="H88" s="760">
        <v>3.3</v>
      </c>
      <c r="I88" s="760">
        <v>1</v>
      </c>
      <c r="J88" s="760" t="s">
        <v>461</v>
      </c>
      <c r="K88" s="21">
        <f>IF(G88&gt;0,G88*H88*I88,F88*I88)</f>
        <v>3000000</v>
      </c>
    </row>
    <row r="91" spans="1:11">
      <c r="A91" s="760" t="s">
        <v>462</v>
      </c>
      <c r="B91" s="760"/>
      <c r="C91" s="760" t="s">
        <v>463</v>
      </c>
      <c r="D91" s="760" t="s">
        <v>153</v>
      </c>
      <c r="E91" s="760" t="s">
        <v>464</v>
      </c>
      <c r="F91" s="760">
        <v>5000</v>
      </c>
      <c r="G91" s="760"/>
      <c r="H91" s="760">
        <v>3.3</v>
      </c>
      <c r="I91" s="760">
        <v>1</v>
      </c>
      <c r="J91" s="760" t="s">
        <v>465</v>
      </c>
      <c r="K91" s="21">
        <f>IF(G91&gt;0,G91*H91*I91,F91*I91)</f>
        <v>5000</v>
      </c>
    </row>
    <row r="94" spans="1:11">
      <c r="A94" s="760" t="s">
        <v>466</v>
      </c>
      <c r="B94" s="760"/>
      <c r="C94" s="760" t="s">
        <v>467</v>
      </c>
      <c r="D94" s="760" t="s">
        <v>153</v>
      </c>
      <c r="E94" s="760" t="s">
        <v>464</v>
      </c>
      <c r="F94" s="760">
        <v>6000</v>
      </c>
      <c r="G94" s="760"/>
      <c r="H94" s="760">
        <v>3.3</v>
      </c>
      <c r="I94" s="760">
        <v>1</v>
      </c>
      <c r="J94" s="760" t="s">
        <v>468</v>
      </c>
      <c r="K94" s="21">
        <f>IF(G94&gt;0,G94*H94*I94,F94*I94)</f>
        <v>6000</v>
      </c>
    </row>
    <row r="95" spans="1:11">
      <c r="A95" s="760"/>
      <c r="B95" s="760"/>
      <c r="C95" s="760" t="s">
        <v>102</v>
      </c>
      <c r="D95" s="760" t="s">
        <v>153</v>
      </c>
      <c r="E95" s="760" t="s">
        <v>363</v>
      </c>
      <c r="F95" s="760"/>
      <c r="G95" s="20" t="e">
        <f>228000/5/TC</f>
        <v>#REF!</v>
      </c>
      <c r="H95" s="760" t="e">
        <f>TC</f>
        <v>#REF!</v>
      </c>
      <c r="I95" s="760">
        <v>1</v>
      </c>
      <c r="J95" s="760" t="s">
        <v>469</v>
      </c>
      <c r="K95" s="21" t="e">
        <f>IF(G95&gt;0,G95*H95*I95,F95*I95)</f>
        <v>#REF!</v>
      </c>
    </row>
  </sheetData>
  <phoneticPr fontId="2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8"/>
  <dimension ref="A1:Z58"/>
  <sheetViews>
    <sheetView zoomScale="75" workbookViewId="0">
      <selection activeCell="J15" sqref="J15:N15"/>
    </sheetView>
  </sheetViews>
  <sheetFormatPr defaultColWidth="10.7109375" defaultRowHeight="13.15"/>
  <cols>
    <col min="1" max="4" width="3.42578125" customWidth="1"/>
    <col min="5" max="5" width="33.7109375" customWidth="1"/>
    <col min="6" max="6" width="3.7109375" customWidth="1"/>
    <col min="7" max="7" width="11.42578125" customWidth="1"/>
    <col min="8" max="9" width="4.42578125" customWidth="1"/>
    <col min="10" max="25" width="15.42578125" customWidth="1"/>
  </cols>
  <sheetData>
    <row r="1" spans="1:26" ht="17.45">
      <c r="A1" s="10" t="s">
        <v>320</v>
      </c>
      <c r="B1" s="10"/>
      <c r="C1" s="10"/>
      <c r="D1" s="10"/>
      <c r="E1" s="10"/>
      <c r="F1" s="10"/>
      <c r="G1" s="11"/>
      <c r="H1" s="12" t="e">
        <f>INDEX(StrategyChoices,Strategy)&amp;" : "&amp;INDEX(StrategyName,Strategy)</f>
        <v>#REF!</v>
      </c>
      <c r="I1" s="10"/>
      <c r="J1" s="11"/>
      <c r="K1" s="11"/>
      <c r="L1" s="11"/>
      <c r="M1" s="11"/>
      <c r="N1" s="11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>
      <c r="A2" s="13"/>
      <c r="B2" s="14"/>
      <c r="C2" s="14"/>
      <c r="D2" s="14"/>
      <c r="E2" s="14"/>
      <c r="F2" s="15"/>
      <c r="G2" s="14"/>
      <c r="H2" s="16"/>
      <c r="I2" s="14"/>
      <c r="J2" s="16"/>
      <c r="K2" s="16"/>
      <c r="L2" s="16"/>
      <c r="M2" s="16"/>
      <c r="N2" s="16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A3" s="22" t="s">
        <v>470</v>
      </c>
      <c r="B3" s="14"/>
      <c r="C3" s="14"/>
      <c r="D3" s="14"/>
      <c r="E3" s="14"/>
      <c r="F3" s="15"/>
      <c r="G3" s="17"/>
      <c r="H3" s="14"/>
      <c r="I3" s="14"/>
      <c r="J3" s="14"/>
      <c r="K3" s="16"/>
      <c r="L3" s="14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>
      <c r="A4" s="1067"/>
      <c r="B4" s="23"/>
      <c r="C4" s="23"/>
      <c r="D4" s="23"/>
      <c r="E4" s="24"/>
      <c r="F4" s="25"/>
      <c r="G4" s="26"/>
      <c r="H4" s="27"/>
      <c r="I4" s="27"/>
      <c r="J4" s="28" t="s">
        <v>471</v>
      </c>
      <c r="K4" s="29"/>
      <c r="L4" s="23"/>
      <c r="M4" s="29"/>
      <c r="N4" s="29"/>
      <c r="O4" s="29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>
      <c r="A5" s="1068" t="s">
        <v>472</v>
      </c>
      <c r="B5" s="30"/>
      <c r="C5" s="30"/>
      <c r="D5" s="30"/>
      <c r="E5" s="31"/>
      <c r="F5" s="32"/>
      <c r="G5" s="33" t="s">
        <v>473</v>
      </c>
      <c r="H5" s="30"/>
      <c r="I5" s="30"/>
      <c r="J5" s="30" t="e">
        <f>StartYear-one</f>
        <v>#REF!</v>
      </c>
      <c r="K5" s="28" t="e">
        <f>StartYear</f>
        <v>#REF!</v>
      </c>
      <c r="L5" s="28" t="e">
        <f>K5+1</f>
        <v>#REF!</v>
      </c>
      <c r="M5" s="28" t="e">
        <f t="shared" ref="M5:Y5" si="0">L5+1</f>
        <v>#REF!</v>
      </c>
      <c r="N5" s="28" t="e">
        <f t="shared" si="0"/>
        <v>#REF!</v>
      </c>
      <c r="O5" s="28" t="e">
        <f t="shared" si="0"/>
        <v>#REF!</v>
      </c>
      <c r="P5" s="28" t="e">
        <f t="shared" si="0"/>
        <v>#REF!</v>
      </c>
      <c r="Q5" s="28" t="e">
        <f t="shared" si="0"/>
        <v>#REF!</v>
      </c>
      <c r="R5" s="28" t="e">
        <f t="shared" si="0"/>
        <v>#REF!</v>
      </c>
      <c r="S5" s="28" t="e">
        <f t="shared" si="0"/>
        <v>#REF!</v>
      </c>
      <c r="T5" s="28" t="e">
        <f t="shared" si="0"/>
        <v>#REF!</v>
      </c>
      <c r="U5" s="28" t="e">
        <f t="shared" si="0"/>
        <v>#REF!</v>
      </c>
      <c r="V5" s="28" t="e">
        <f t="shared" si="0"/>
        <v>#REF!</v>
      </c>
      <c r="W5" s="28" t="e">
        <f t="shared" si="0"/>
        <v>#REF!</v>
      </c>
      <c r="X5" s="28" t="e">
        <f t="shared" si="0"/>
        <v>#REF!</v>
      </c>
      <c r="Y5" s="28" t="e">
        <f t="shared" si="0"/>
        <v>#REF!</v>
      </c>
      <c r="Z5" s="28"/>
    </row>
    <row r="6" spans="1:26">
      <c r="A6" s="1067" t="s">
        <v>474</v>
      </c>
      <c r="B6" s="23"/>
      <c r="C6" s="23"/>
      <c r="D6" s="23"/>
      <c r="E6" s="24"/>
      <c r="F6" s="25"/>
      <c r="G6" s="26" t="s">
        <v>474</v>
      </c>
      <c r="H6" s="23"/>
      <c r="I6" s="23"/>
      <c r="J6" s="23">
        <v>0</v>
      </c>
      <c r="K6" s="29">
        <v>1</v>
      </c>
      <c r="L6" s="23">
        <f t="shared" ref="L6:Y6" si="1">1+K6</f>
        <v>2</v>
      </c>
      <c r="M6" s="23">
        <f t="shared" si="1"/>
        <v>3</v>
      </c>
      <c r="N6" s="23">
        <f t="shared" si="1"/>
        <v>4</v>
      </c>
      <c r="O6" s="23">
        <f t="shared" si="1"/>
        <v>5</v>
      </c>
      <c r="P6" s="23">
        <f t="shared" si="1"/>
        <v>6</v>
      </c>
      <c r="Q6" s="23">
        <f t="shared" si="1"/>
        <v>7</v>
      </c>
      <c r="R6" s="23">
        <f t="shared" si="1"/>
        <v>8</v>
      </c>
      <c r="S6" s="23">
        <f t="shared" si="1"/>
        <v>9</v>
      </c>
      <c r="T6" s="23">
        <f t="shared" si="1"/>
        <v>10</v>
      </c>
      <c r="U6" s="23">
        <f t="shared" si="1"/>
        <v>11</v>
      </c>
      <c r="V6" s="23">
        <f t="shared" si="1"/>
        <v>12</v>
      </c>
      <c r="W6" s="23">
        <f t="shared" si="1"/>
        <v>13</v>
      </c>
      <c r="X6" s="23">
        <f t="shared" si="1"/>
        <v>14</v>
      </c>
      <c r="Y6" s="23">
        <f t="shared" si="1"/>
        <v>15</v>
      </c>
      <c r="Z6" s="23"/>
    </row>
    <row r="7" spans="1:26">
      <c r="A7" s="1067"/>
      <c r="B7" s="23"/>
      <c r="C7" s="23"/>
      <c r="D7" s="23"/>
      <c r="E7" s="24"/>
      <c r="F7" s="25"/>
      <c r="G7" s="26"/>
      <c r="H7" s="26"/>
      <c r="I7" s="26"/>
      <c r="J7" s="26"/>
      <c r="K7" s="26"/>
      <c r="L7" s="26"/>
      <c r="M7" s="26"/>
      <c r="N7" s="26"/>
      <c r="O7" s="26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>
      <c r="A8" s="1067" t="s">
        <v>475</v>
      </c>
      <c r="B8" s="23"/>
      <c r="C8" s="23"/>
      <c r="D8" s="23"/>
      <c r="E8" s="23"/>
      <c r="F8" s="23"/>
      <c r="G8" s="23"/>
      <c r="H8" s="23"/>
      <c r="I8" s="23"/>
      <c r="J8" s="1069" t="e">
        <f>J10</f>
        <v>#REF!</v>
      </c>
      <c r="K8" s="1069" t="e">
        <f t="shared" ref="K8:Y8" si="2">K10</f>
        <v>#REF!</v>
      </c>
      <c r="L8" s="1069" t="e">
        <f t="shared" si="2"/>
        <v>#REF!</v>
      </c>
      <c r="M8" s="1069" t="e">
        <f t="shared" si="2"/>
        <v>#REF!</v>
      </c>
      <c r="N8" s="1069" t="e">
        <f t="shared" si="2"/>
        <v>#REF!</v>
      </c>
      <c r="O8" s="1069" t="e">
        <f t="shared" si="2"/>
        <v>#REF!</v>
      </c>
      <c r="P8" s="1069" t="e">
        <f t="shared" si="2"/>
        <v>#REF!</v>
      </c>
      <c r="Q8" s="1069" t="e">
        <f t="shared" si="2"/>
        <v>#REF!</v>
      </c>
      <c r="R8" s="1069" t="e">
        <f t="shared" si="2"/>
        <v>#REF!</v>
      </c>
      <c r="S8" s="1069" t="e">
        <f t="shared" si="2"/>
        <v>#REF!</v>
      </c>
      <c r="T8" s="1069" t="e">
        <f t="shared" si="2"/>
        <v>#REF!</v>
      </c>
      <c r="U8" s="1069" t="e">
        <f t="shared" si="2"/>
        <v>#REF!</v>
      </c>
      <c r="V8" s="1069" t="e">
        <f t="shared" si="2"/>
        <v>#REF!</v>
      </c>
      <c r="W8" s="1069" t="e">
        <f t="shared" si="2"/>
        <v>#REF!</v>
      </c>
      <c r="X8" s="1069" t="e">
        <f t="shared" si="2"/>
        <v>#REF!</v>
      </c>
      <c r="Y8" s="1069" t="e">
        <f t="shared" si="2"/>
        <v>#REF!</v>
      </c>
      <c r="Z8" s="23"/>
    </row>
    <row r="9" spans="1:26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>
      <c r="A10" s="23"/>
      <c r="B10" s="23" t="s">
        <v>476</v>
      </c>
      <c r="C10" s="23"/>
      <c r="D10" s="23"/>
      <c r="E10" s="23"/>
      <c r="F10" s="23"/>
      <c r="G10" s="23"/>
      <c r="H10" s="23"/>
      <c r="I10" s="23"/>
      <c r="J10" s="42" t="e">
        <f>#REF!/Mil</f>
        <v>#REF!</v>
      </c>
      <c r="K10" s="42" t="e">
        <f>#REF!/Mil</f>
        <v>#REF!</v>
      </c>
      <c r="L10" s="42" t="e">
        <f>#REF!/Mil</f>
        <v>#REF!</v>
      </c>
      <c r="M10" s="42" t="e">
        <f>#REF!/Mil</f>
        <v>#REF!</v>
      </c>
      <c r="N10" s="42" t="e">
        <f>#REF!/Mil</f>
        <v>#REF!</v>
      </c>
      <c r="O10" s="42" t="e">
        <f>#REF!/Mil</f>
        <v>#REF!</v>
      </c>
      <c r="P10" s="42" t="e">
        <f>#REF!/Mil</f>
        <v>#REF!</v>
      </c>
      <c r="Q10" s="42" t="e">
        <f>#REF!/Mil</f>
        <v>#REF!</v>
      </c>
      <c r="R10" s="42" t="e">
        <f>#REF!/Mil</f>
        <v>#REF!</v>
      </c>
      <c r="S10" s="42" t="e">
        <f>#REF!/Mil</f>
        <v>#REF!</v>
      </c>
      <c r="T10" s="42" t="e">
        <f>#REF!/Mil</f>
        <v>#REF!</v>
      </c>
      <c r="U10" s="42" t="e">
        <f>#REF!/Mil</f>
        <v>#REF!</v>
      </c>
      <c r="V10" s="42" t="e">
        <f>#REF!/Mil</f>
        <v>#REF!</v>
      </c>
      <c r="W10" s="42" t="e">
        <f>#REF!/Mil</f>
        <v>#REF!</v>
      </c>
      <c r="X10" s="42" t="e">
        <f>#REF!/Mil</f>
        <v>#REF!</v>
      </c>
      <c r="Y10" s="42" t="e">
        <f>#REF!/Mil</f>
        <v>#REF!</v>
      </c>
      <c r="Z10" s="23"/>
    </row>
    <row r="11" spans="1:26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>
      <c r="A12" s="1067" t="s">
        <v>477</v>
      </c>
      <c r="B12" s="23"/>
      <c r="C12" s="23"/>
      <c r="D12" s="23"/>
      <c r="E12" s="23"/>
      <c r="F12" s="23"/>
      <c r="G12" s="23"/>
      <c r="H12" s="23"/>
      <c r="I12" s="23"/>
      <c r="J12" s="1069" t="e">
        <f>J14+J18</f>
        <v>#REF!</v>
      </c>
      <c r="K12" s="1069" t="e">
        <f t="shared" ref="K12:Y12" si="3">K14+K18</f>
        <v>#REF!</v>
      </c>
      <c r="L12" s="1069" t="e">
        <f t="shared" si="3"/>
        <v>#REF!</v>
      </c>
      <c r="M12" s="1069" t="e">
        <f t="shared" si="3"/>
        <v>#REF!</v>
      </c>
      <c r="N12" s="1069" t="e">
        <f t="shared" si="3"/>
        <v>#REF!</v>
      </c>
      <c r="O12" s="1069" t="e">
        <f t="shared" si="3"/>
        <v>#REF!</v>
      </c>
      <c r="P12" s="1069" t="e">
        <f t="shared" si="3"/>
        <v>#REF!</v>
      </c>
      <c r="Q12" s="1069" t="e">
        <f t="shared" si="3"/>
        <v>#REF!</v>
      </c>
      <c r="R12" s="1069" t="e">
        <f t="shared" si="3"/>
        <v>#REF!</v>
      </c>
      <c r="S12" s="1069" t="e">
        <f t="shared" si="3"/>
        <v>#REF!</v>
      </c>
      <c r="T12" s="1069" t="e">
        <f t="shared" si="3"/>
        <v>#REF!</v>
      </c>
      <c r="U12" s="1069" t="e">
        <f t="shared" si="3"/>
        <v>#REF!</v>
      </c>
      <c r="V12" s="1069" t="e">
        <f t="shared" si="3"/>
        <v>#REF!</v>
      </c>
      <c r="W12" s="1069" t="e">
        <f t="shared" si="3"/>
        <v>#REF!</v>
      </c>
      <c r="X12" s="1069" t="e">
        <f t="shared" si="3"/>
        <v>#REF!</v>
      </c>
      <c r="Y12" s="1069" t="e">
        <f t="shared" si="3"/>
        <v>#REF!</v>
      </c>
      <c r="Z12" s="23"/>
    </row>
    <row r="13" spans="1:26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>
      <c r="A14" s="1070" t="s">
        <v>478</v>
      </c>
      <c r="B14" s="760"/>
      <c r="C14" s="23"/>
      <c r="D14" s="23"/>
      <c r="E14" s="23"/>
      <c r="F14" s="23"/>
      <c r="G14" s="23"/>
      <c r="H14" s="23"/>
      <c r="I14" s="23"/>
      <c r="J14" s="1071" t="e">
        <f>SUM(J15:J16)</f>
        <v>#REF!</v>
      </c>
      <c r="K14" s="1071" t="e">
        <f t="shared" ref="K14:Y14" si="4">SUM(K15:K16)</f>
        <v>#REF!</v>
      </c>
      <c r="L14" s="1071" t="e">
        <f t="shared" si="4"/>
        <v>#REF!</v>
      </c>
      <c r="M14" s="1071" t="e">
        <f t="shared" si="4"/>
        <v>#REF!</v>
      </c>
      <c r="N14" s="1071" t="e">
        <f t="shared" si="4"/>
        <v>#REF!</v>
      </c>
      <c r="O14" s="1071" t="e">
        <f t="shared" si="4"/>
        <v>#REF!</v>
      </c>
      <c r="P14" s="1071" t="e">
        <f t="shared" si="4"/>
        <v>#REF!</v>
      </c>
      <c r="Q14" s="1071" t="e">
        <f t="shared" si="4"/>
        <v>#REF!</v>
      </c>
      <c r="R14" s="1071" t="e">
        <f t="shared" si="4"/>
        <v>#REF!</v>
      </c>
      <c r="S14" s="1071" t="e">
        <f t="shared" si="4"/>
        <v>#REF!</v>
      </c>
      <c r="T14" s="1071" t="e">
        <f t="shared" si="4"/>
        <v>#REF!</v>
      </c>
      <c r="U14" s="1071" t="e">
        <f t="shared" si="4"/>
        <v>#REF!</v>
      </c>
      <c r="V14" s="1071" t="e">
        <f t="shared" si="4"/>
        <v>#REF!</v>
      </c>
      <c r="W14" s="1071" t="e">
        <f t="shared" si="4"/>
        <v>#REF!</v>
      </c>
      <c r="X14" s="1071" t="e">
        <f t="shared" si="4"/>
        <v>#REF!</v>
      </c>
      <c r="Y14" s="1071" t="e">
        <f t="shared" si="4"/>
        <v>#REF!</v>
      </c>
      <c r="Z14" s="23"/>
    </row>
    <row r="15" spans="1:26">
      <c r="A15" s="23"/>
      <c r="B15" s="23" t="s">
        <v>479</v>
      </c>
      <c r="C15" s="23"/>
      <c r="D15" s="23"/>
      <c r="E15" s="23"/>
      <c r="F15" s="23"/>
      <c r="G15" s="23"/>
      <c r="H15" s="23"/>
      <c r="I15" s="23"/>
      <c r="J15" s="42" t="e">
        <f>#REF!/Mil</f>
        <v>#REF!</v>
      </c>
      <c r="K15" s="42" t="e">
        <f>#REF!/Mil</f>
        <v>#REF!</v>
      </c>
      <c r="L15" s="42" t="e">
        <f>#REF!/Mil</f>
        <v>#REF!</v>
      </c>
      <c r="M15" s="42" t="e">
        <f>#REF!/Mil</f>
        <v>#REF!</v>
      </c>
      <c r="N15" s="42" t="e">
        <f>#REF!/Mil</f>
        <v>#REF!</v>
      </c>
      <c r="O15" s="42" t="e">
        <f>#REF!/Mil</f>
        <v>#REF!</v>
      </c>
      <c r="P15" s="42" t="e">
        <f>#REF!/Mil</f>
        <v>#REF!</v>
      </c>
      <c r="Q15" s="42" t="e">
        <f>#REF!/Mil</f>
        <v>#REF!</v>
      </c>
      <c r="R15" s="42" t="e">
        <f>#REF!/Mil</f>
        <v>#REF!</v>
      </c>
      <c r="S15" s="42" t="e">
        <f>#REF!/Mil</f>
        <v>#REF!</v>
      </c>
      <c r="T15" s="42" t="e">
        <f>#REF!/Mil</f>
        <v>#REF!</v>
      </c>
      <c r="U15" s="42" t="e">
        <f>#REF!/Mil</f>
        <v>#REF!</v>
      </c>
      <c r="V15" s="42" t="e">
        <f>#REF!/Mil</f>
        <v>#REF!</v>
      </c>
      <c r="W15" s="42" t="e">
        <f>#REF!/Mil</f>
        <v>#REF!</v>
      </c>
      <c r="X15" s="42" t="e">
        <f>#REF!/Mil</f>
        <v>#REF!</v>
      </c>
      <c r="Y15" s="42" t="e">
        <f>#REF!/Mil</f>
        <v>#REF!</v>
      </c>
      <c r="Z15" s="23"/>
    </row>
    <row r="16" spans="1:26">
      <c r="A16" s="23"/>
      <c r="B16" s="23" t="s">
        <v>480</v>
      </c>
      <c r="C16" s="23"/>
      <c r="D16" s="23"/>
      <c r="E16" s="23"/>
      <c r="F16" s="23"/>
      <c r="G16" s="23"/>
      <c r="H16" s="23"/>
      <c r="I16" s="23"/>
      <c r="J16" s="42" t="e">
        <f>#REF!/Mil</f>
        <v>#REF!</v>
      </c>
      <c r="K16" s="42" t="e">
        <f>#REF!/Mil</f>
        <v>#REF!</v>
      </c>
      <c r="L16" s="42" t="e">
        <f>#REF!/Mil</f>
        <v>#REF!</v>
      </c>
      <c r="M16" s="42" t="e">
        <f>#REF!/Mil</f>
        <v>#REF!</v>
      </c>
      <c r="N16" s="42" t="e">
        <f>#REF!/Mil</f>
        <v>#REF!</v>
      </c>
      <c r="O16" s="42" t="e">
        <f>#REF!/Mil</f>
        <v>#REF!</v>
      </c>
      <c r="P16" s="42" t="e">
        <f>#REF!/Mil</f>
        <v>#REF!</v>
      </c>
      <c r="Q16" s="42" t="e">
        <f>#REF!/Mil</f>
        <v>#REF!</v>
      </c>
      <c r="R16" s="42" t="e">
        <f>#REF!/Mil</f>
        <v>#REF!</v>
      </c>
      <c r="S16" s="42" t="e">
        <f>#REF!/Mil</f>
        <v>#REF!</v>
      </c>
      <c r="T16" s="42" t="e">
        <f>#REF!/Mil</f>
        <v>#REF!</v>
      </c>
      <c r="U16" s="42" t="e">
        <f>#REF!/Mil</f>
        <v>#REF!</v>
      </c>
      <c r="V16" s="42" t="e">
        <f>#REF!/Mil</f>
        <v>#REF!</v>
      </c>
      <c r="W16" s="42" t="e">
        <f>#REF!/Mil</f>
        <v>#REF!</v>
      </c>
      <c r="X16" s="42" t="e">
        <f>#REF!/Mil</f>
        <v>#REF!</v>
      </c>
      <c r="Y16" s="42" t="e">
        <f>#REF!/Mil</f>
        <v>#REF!</v>
      </c>
      <c r="Z16" s="23"/>
    </row>
    <row r="17" spans="1:26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>
      <c r="A18" s="1070" t="s">
        <v>481</v>
      </c>
      <c r="B18" s="23"/>
      <c r="C18" s="23"/>
      <c r="D18" s="23"/>
      <c r="E18" s="23"/>
      <c r="F18" s="23"/>
      <c r="G18" s="23"/>
      <c r="H18" s="23"/>
      <c r="I18" s="23"/>
      <c r="J18" s="1071" t="e">
        <f>SUM(J19:J20)</f>
        <v>#REF!</v>
      </c>
      <c r="K18" s="1071" t="e">
        <f t="shared" ref="K18:Y18" si="5">SUM(K19:K20)</f>
        <v>#REF!</v>
      </c>
      <c r="L18" s="1071" t="e">
        <f t="shared" si="5"/>
        <v>#REF!</v>
      </c>
      <c r="M18" s="1071" t="e">
        <f t="shared" si="5"/>
        <v>#REF!</v>
      </c>
      <c r="N18" s="1071" t="e">
        <f t="shared" si="5"/>
        <v>#REF!</v>
      </c>
      <c r="O18" s="1071" t="e">
        <f t="shared" si="5"/>
        <v>#REF!</v>
      </c>
      <c r="P18" s="1071" t="e">
        <f t="shared" si="5"/>
        <v>#REF!</v>
      </c>
      <c r="Q18" s="1071" t="e">
        <f t="shared" si="5"/>
        <v>#REF!</v>
      </c>
      <c r="R18" s="1071" t="e">
        <f t="shared" si="5"/>
        <v>#REF!</v>
      </c>
      <c r="S18" s="1071" t="e">
        <f t="shared" si="5"/>
        <v>#REF!</v>
      </c>
      <c r="T18" s="1071" t="e">
        <f t="shared" si="5"/>
        <v>#REF!</v>
      </c>
      <c r="U18" s="1071" t="e">
        <f t="shared" si="5"/>
        <v>#REF!</v>
      </c>
      <c r="V18" s="1071" t="e">
        <f t="shared" si="5"/>
        <v>#REF!</v>
      </c>
      <c r="W18" s="1071" t="e">
        <f t="shared" si="5"/>
        <v>#REF!</v>
      </c>
      <c r="X18" s="1071" t="e">
        <f t="shared" si="5"/>
        <v>#REF!</v>
      </c>
      <c r="Y18" s="1071" t="e">
        <f t="shared" si="5"/>
        <v>#REF!</v>
      </c>
      <c r="Z18" s="23"/>
    </row>
    <row r="19" spans="1:26">
      <c r="A19" s="23"/>
      <c r="B19" s="23" t="s">
        <v>482</v>
      </c>
      <c r="C19" s="23"/>
      <c r="D19" s="23"/>
      <c r="E19" s="23"/>
      <c r="F19" s="23"/>
      <c r="G19" s="23"/>
      <c r="H19" s="23"/>
      <c r="I19" s="23"/>
      <c r="J19" s="42" t="e">
        <f>(#REF!+#REF!-#REF!-#REF!)/Mil</f>
        <v>#REF!</v>
      </c>
      <c r="K19" s="42" t="e">
        <f>(#REF!+#REF!-#REF!-#REF!)/Mil</f>
        <v>#REF!</v>
      </c>
      <c r="L19" s="42" t="e">
        <f>(#REF!+#REF!-#REF!-#REF!)/Mil</f>
        <v>#REF!</v>
      </c>
      <c r="M19" s="42" t="e">
        <f>(#REF!+#REF!-#REF!-#REF!)/Mil</f>
        <v>#REF!</v>
      </c>
      <c r="N19" s="42" t="e">
        <f>(#REF!+#REF!-#REF!-#REF!)/Mil</f>
        <v>#REF!</v>
      </c>
      <c r="O19" s="42" t="e">
        <f>(#REF!+#REF!-#REF!-#REF!)/Mil</f>
        <v>#REF!</v>
      </c>
      <c r="P19" s="42" t="e">
        <f>(#REF!+#REF!-#REF!-#REF!)/Mil</f>
        <v>#REF!</v>
      </c>
      <c r="Q19" s="42" t="e">
        <f>(#REF!+#REF!-#REF!-#REF!)/Mil</f>
        <v>#REF!</v>
      </c>
      <c r="R19" s="42" t="e">
        <f>(#REF!+#REF!-#REF!-#REF!)/Mil</f>
        <v>#REF!</v>
      </c>
      <c r="S19" s="42" t="e">
        <f>(#REF!+#REF!-#REF!-#REF!)/Mil</f>
        <v>#REF!</v>
      </c>
      <c r="T19" s="42" t="e">
        <f>(#REF!+#REF!-#REF!-#REF!)/Mil</f>
        <v>#REF!</v>
      </c>
      <c r="U19" s="42" t="e">
        <f>(#REF!+#REF!-#REF!-#REF!)/Mil</f>
        <v>#REF!</v>
      </c>
      <c r="V19" s="42" t="e">
        <f>(#REF!+#REF!-#REF!-#REF!)/Mil</f>
        <v>#REF!</v>
      </c>
      <c r="W19" s="42" t="e">
        <f>(#REF!+#REF!-#REF!-#REF!)/Mil</f>
        <v>#REF!</v>
      </c>
      <c r="X19" s="42" t="e">
        <f>(#REF!+#REF!-#REF!-#REF!)/Mil</f>
        <v>#REF!</v>
      </c>
      <c r="Y19" s="42" t="e">
        <f>(#REF!+#REF!-#REF!-#REF!)/Mil</f>
        <v>#REF!</v>
      </c>
      <c r="Z19" s="23"/>
    </row>
    <row r="20" spans="1:26">
      <c r="A20" s="23"/>
      <c r="B20" s="23" t="s">
        <v>483</v>
      </c>
      <c r="C20" s="23"/>
      <c r="D20" s="23"/>
      <c r="E20" s="23"/>
      <c r="F20" s="23"/>
      <c r="G20" s="23"/>
      <c r="H20" s="23"/>
      <c r="I20" s="23"/>
      <c r="J20" s="42" t="e">
        <f>(#REF!-#REF!+#REF!)/Mil</f>
        <v>#REF!</v>
      </c>
      <c r="K20" s="42" t="e">
        <f>(#REF!-#REF!+#REF!)/Mil</f>
        <v>#REF!</v>
      </c>
      <c r="L20" s="42" t="e">
        <f>(#REF!-#REF!+#REF!)/Mil</f>
        <v>#REF!</v>
      </c>
      <c r="M20" s="42" t="e">
        <f>(#REF!-#REF!+#REF!)/Mil</f>
        <v>#REF!</v>
      </c>
      <c r="N20" s="42" t="e">
        <f>(#REF!-#REF!+#REF!)/Mil</f>
        <v>#REF!</v>
      </c>
      <c r="O20" s="42" t="e">
        <f>(#REF!-#REF!+#REF!)/Mil</f>
        <v>#REF!</v>
      </c>
      <c r="P20" s="42" t="e">
        <f>(#REF!-#REF!+#REF!)/Mil</f>
        <v>#REF!</v>
      </c>
      <c r="Q20" s="42" t="e">
        <f>(#REF!-#REF!+#REF!)/Mil</f>
        <v>#REF!</v>
      </c>
      <c r="R20" s="42" t="e">
        <f>(#REF!-#REF!+#REF!)/Mil</f>
        <v>#REF!</v>
      </c>
      <c r="S20" s="42" t="e">
        <f>(#REF!-#REF!+#REF!)/Mil</f>
        <v>#REF!</v>
      </c>
      <c r="T20" s="42" t="e">
        <f>(#REF!-#REF!+#REF!)/Mil</f>
        <v>#REF!</v>
      </c>
      <c r="U20" s="42" t="e">
        <f>(#REF!-#REF!+#REF!)/Mil</f>
        <v>#REF!</v>
      </c>
      <c r="V20" s="42" t="e">
        <f>(#REF!-#REF!+#REF!)/Mil</f>
        <v>#REF!</v>
      </c>
      <c r="W20" s="42" t="e">
        <f>(#REF!-#REF!+#REF!)/Mil</f>
        <v>#REF!</v>
      </c>
      <c r="X20" s="42" t="e">
        <f>(#REF!-#REF!+#REF!)/Mil</f>
        <v>#REF!</v>
      </c>
      <c r="Y20" s="42" t="e">
        <f>(#REF!-#REF!+#REF!)/Mil</f>
        <v>#REF!</v>
      </c>
      <c r="Z20" s="23"/>
    </row>
    <row r="21" spans="1:26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>
      <c r="A23" s="1067" t="s">
        <v>484</v>
      </c>
      <c r="B23" s="23"/>
      <c r="C23" s="23"/>
      <c r="D23" s="23"/>
      <c r="E23" s="23"/>
      <c r="F23" s="23"/>
      <c r="G23" s="23"/>
      <c r="H23" s="23"/>
      <c r="I23" s="23"/>
      <c r="J23" s="1069" t="e">
        <f>J8-J12</f>
        <v>#REF!</v>
      </c>
      <c r="K23" s="1069" t="e">
        <f t="shared" ref="K23:Y23" si="6">K8-K12</f>
        <v>#REF!</v>
      </c>
      <c r="L23" s="1069" t="e">
        <f t="shared" si="6"/>
        <v>#REF!</v>
      </c>
      <c r="M23" s="1069" t="e">
        <f t="shared" si="6"/>
        <v>#REF!</v>
      </c>
      <c r="N23" s="1069" t="e">
        <f t="shared" si="6"/>
        <v>#REF!</v>
      </c>
      <c r="O23" s="1069" t="e">
        <f t="shared" si="6"/>
        <v>#REF!</v>
      </c>
      <c r="P23" s="1069" t="e">
        <f t="shared" si="6"/>
        <v>#REF!</v>
      </c>
      <c r="Q23" s="1069" t="e">
        <f t="shared" si="6"/>
        <v>#REF!</v>
      </c>
      <c r="R23" s="1069" t="e">
        <f t="shared" si="6"/>
        <v>#REF!</v>
      </c>
      <c r="S23" s="1069" t="e">
        <f t="shared" si="6"/>
        <v>#REF!</v>
      </c>
      <c r="T23" s="1069" t="e">
        <f t="shared" si="6"/>
        <v>#REF!</v>
      </c>
      <c r="U23" s="1069" t="e">
        <f t="shared" si="6"/>
        <v>#REF!</v>
      </c>
      <c r="V23" s="1069" t="e">
        <f t="shared" si="6"/>
        <v>#REF!</v>
      </c>
      <c r="W23" s="1069" t="e">
        <f t="shared" si="6"/>
        <v>#REF!</v>
      </c>
      <c r="X23" s="1069" t="e">
        <f t="shared" si="6"/>
        <v>#REF!</v>
      </c>
      <c r="Y23" s="1069" t="e">
        <f t="shared" si="6"/>
        <v>#REF!</v>
      </c>
      <c r="Z23" s="23"/>
    </row>
    <row r="24" spans="1:26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>
      <c r="A28" s="23"/>
      <c r="B28" s="23"/>
      <c r="C28" s="23"/>
      <c r="D28" s="23"/>
      <c r="E28" s="1072" t="s">
        <v>485</v>
      </c>
      <c r="F28" s="23"/>
      <c r="G28" s="1073" t="e">
        <f>NPV(TSD,K23:Y23)+J23</f>
        <v>#REF!</v>
      </c>
      <c r="H28" s="1073"/>
      <c r="I28" s="1073"/>
      <c r="J28" s="107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>
      <c r="A57" s="13"/>
      <c r="B57" s="14"/>
      <c r="C57" s="14"/>
      <c r="D57" s="14"/>
      <c r="E57" s="14"/>
      <c r="F57" s="15"/>
      <c r="G57" s="14"/>
      <c r="H57" s="16"/>
      <c r="I57" s="14"/>
      <c r="J57" s="16"/>
      <c r="K57" s="16"/>
      <c r="L57" s="16"/>
      <c r="M57" s="16"/>
      <c r="N57" s="16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>
      <c r="A58" s="13"/>
      <c r="B58" s="14"/>
      <c r="C58" s="14"/>
      <c r="D58" s="14"/>
      <c r="E58" s="14"/>
      <c r="F58" s="15"/>
      <c r="G58" s="14"/>
      <c r="H58" s="16"/>
      <c r="I58" s="14"/>
      <c r="J58" s="16"/>
      <c r="K58" s="16"/>
      <c r="L58" s="16"/>
      <c r="M58" s="16"/>
      <c r="N58" s="16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</sheetData>
  <mergeCells count="1">
    <mergeCell ref="G28:J28"/>
  </mergeCells>
  <phoneticPr fontId="0" type="noConversion"/>
  <pageMargins left="0.75" right="0.75" top="1" bottom="1" header="0" footer="0"/>
  <pageSetup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21"/>
  <dimension ref="A1:T62"/>
  <sheetViews>
    <sheetView workbookViewId="0">
      <selection activeCell="B8" sqref="B8"/>
    </sheetView>
  </sheetViews>
  <sheetFormatPr defaultColWidth="10.7109375" defaultRowHeight="13.15"/>
  <cols>
    <col min="1" max="1" width="4.7109375" customWidth="1"/>
    <col min="2" max="2" width="29.42578125" customWidth="1"/>
    <col min="3" max="18" width="9.28515625" customWidth="1"/>
    <col min="19" max="19" width="11.85546875" customWidth="1"/>
    <col min="20" max="20" width="8.85546875" customWidth="1"/>
  </cols>
  <sheetData>
    <row r="1" spans="1:2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7.45">
      <c r="A2" s="952" t="e">
        <f>"RESUMEN DE INVERSIONES "&amp;CHOOSE(Te,"(Precios Privados)","(Precios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>
      <c r="A5" s="1067" t="s">
        <v>486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>
      <c r="A6" s="951" t="s">
        <v>487</v>
      </c>
      <c r="B6" s="1074" t="s">
        <v>488</v>
      </c>
      <c r="C6" s="1075" t="s">
        <v>489</v>
      </c>
      <c r="D6" s="1075"/>
      <c r="E6" s="1075"/>
      <c r="F6" s="1075"/>
      <c r="G6" s="1075"/>
      <c r="H6" s="1075"/>
      <c r="I6" s="1075"/>
      <c r="J6" s="1075"/>
      <c r="K6" s="1075"/>
      <c r="L6" s="1075"/>
      <c r="M6" s="1075"/>
      <c r="N6" s="1075"/>
      <c r="O6" s="1075"/>
      <c r="P6" s="1075"/>
      <c r="Q6" s="1075"/>
      <c r="R6" s="1075"/>
      <c r="S6" s="1074" t="s">
        <v>18</v>
      </c>
      <c r="T6" s="1074" t="s">
        <v>107</v>
      </c>
    </row>
    <row r="7" spans="1:20">
      <c r="A7" s="951"/>
      <c r="B7" s="1074"/>
      <c r="C7" s="1076" t="e">
        <f>#REF!</f>
        <v>#REF!</v>
      </c>
      <c r="D7" s="1076" t="e">
        <f>#REF!</f>
        <v>#REF!</v>
      </c>
      <c r="E7" s="1076" t="e">
        <f>#REF!</f>
        <v>#REF!</v>
      </c>
      <c r="F7" s="1076" t="e">
        <f>#REF!</f>
        <v>#REF!</v>
      </c>
      <c r="G7" s="1076" t="e">
        <f>#REF!</f>
        <v>#REF!</v>
      </c>
      <c r="H7" s="1076" t="e">
        <f>#REF!</f>
        <v>#REF!</v>
      </c>
      <c r="I7" s="1076" t="e">
        <f>#REF!</f>
        <v>#REF!</v>
      </c>
      <c r="J7" s="1076" t="e">
        <f>#REF!</f>
        <v>#REF!</v>
      </c>
      <c r="K7" s="1076" t="e">
        <f>#REF!</f>
        <v>#REF!</v>
      </c>
      <c r="L7" s="1076" t="e">
        <f>#REF!</f>
        <v>#REF!</v>
      </c>
      <c r="M7" s="1076" t="e">
        <f>#REF!</f>
        <v>#REF!</v>
      </c>
      <c r="N7" s="1076" t="e">
        <f>#REF!</f>
        <v>#REF!</v>
      </c>
      <c r="O7" s="1076" t="e">
        <f>#REF!</f>
        <v>#REF!</v>
      </c>
      <c r="P7" s="1076" t="e">
        <f>#REF!</f>
        <v>#REF!</v>
      </c>
      <c r="Q7" s="1076" t="e">
        <f>#REF!</f>
        <v>#REF!</v>
      </c>
      <c r="R7" s="1076" t="e">
        <f>#REF!</f>
        <v>#REF!</v>
      </c>
      <c r="S7" s="1074"/>
      <c r="T7" s="1074"/>
    </row>
    <row r="8" spans="1:20" ht="26.25" customHeight="1">
      <c r="A8" s="74" t="e">
        <f>#REF!</f>
        <v>#REF!</v>
      </c>
      <c r="B8" s="95" t="e">
        <f>#REF!</f>
        <v>#REF!</v>
      </c>
      <c r="C8" s="96" t="e">
        <f>(#REF!+#REF!)/Mil</f>
        <v>#REF!</v>
      </c>
      <c r="D8" s="96" t="e">
        <f>(#REF!+#REF!)/Mil</f>
        <v>#REF!</v>
      </c>
      <c r="E8" s="96" t="e">
        <f>(#REF!+#REF!)/Mil</f>
        <v>#REF!</v>
      </c>
      <c r="F8" s="96" t="e">
        <f>(#REF!+#REF!)/Mil</f>
        <v>#REF!</v>
      </c>
      <c r="G8" s="96" t="e">
        <f>(#REF!+#REF!)/Mil</f>
        <v>#REF!</v>
      </c>
      <c r="H8" s="96" t="e">
        <f>(#REF!+#REF!)/Mil</f>
        <v>#REF!</v>
      </c>
      <c r="I8" s="96" t="e">
        <f>(#REF!+#REF!)/Mil</f>
        <v>#REF!</v>
      </c>
      <c r="J8" s="96" t="e">
        <f>(#REF!+#REF!)/Mil</f>
        <v>#REF!</v>
      </c>
      <c r="K8" s="96" t="e">
        <f>(#REF!+#REF!)/Mil</f>
        <v>#REF!</v>
      </c>
      <c r="L8" s="96" t="e">
        <f>(#REF!+#REF!)/Mil</f>
        <v>#REF!</v>
      </c>
      <c r="M8" s="96" t="e">
        <f>(#REF!+#REF!)/Mil</f>
        <v>#REF!</v>
      </c>
      <c r="N8" s="96" t="e">
        <f>(#REF!+#REF!)/Mil</f>
        <v>#REF!</v>
      </c>
      <c r="O8" s="96" t="e">
        <f>(#REF!+#REF!)/Mil</f>
        <v>#REF!</v>
      </c>
      <c r="P8" s="96" t="e">
        <f>(#REF!+#REF!)/Mil</f>
        <v>#REF!</v>
      </c>
      <c r="Q8" s="96" t="e">
        <f>(#REF!+#REF!)/Mil</f>
        <v>#REF!</v>
      </c>
      <c r="R8" s="96" t="e">
        <f>(#REF!+#REF!)/Mil</f>
        <v>#REF!</v>
      </c>
      <c r="S8" s="1077" t="e">
        <f>SUM(C8:R8)</f>
        <v>#REF!</v>
      </c>
      <c r="T8" s="1078" t="e">
        <f>S8/$S$14</f>
        <v>#REF!</v>
      </c>
    </row>
    <row r="9" spans="1:20" ht="26.25" customHeight="1">
      <c r="A9" s="74" t="e">
        <f>#REF!</f>
        <v>#REF!</v>
      </c>
      <c r="B9" s="95" t="e">
        <f>#REF!</f>
        <v>#REF!</v>
      </c>
      <c r="C9" s="96" t="e">
        <f>(#REF!+#REF!)/Mil</f>
        <v>#REF!</v>
      </c>
      <c r="D9" s="96" t="e">
        <f>(#REF!+#REF!)/Mil</f>
        <v>#REF!</v>
      </c>
      <c r="E9" s="96" t="e">
        <f>(#REF!+#REF!)/Mil</f>
        <v>#REF!</v>
      </c>
      <c r="F9" s="96" t="e">
        <f>(#REF!+#REF!)/Mil</f>
        <v>#REF!</v>
      </c>
      <c r="G9" s="96" t="e">
        <f>(#REF!+#REF!)/Mil</f>
        <v>#REF!</v>
      </c>
      <c r="H9" s="96" t="e">
        <f>(#REF!+#REF!)/Mil</f>
        <v>#REF!</v>
      </c>
      <c r="I9" s="96" t="e">
        <f>(#REF!+#REF!)/Mil</f>
        <v>#REF!</v>
      </c>
      <c r="J9" s="96" t="e">
        <f>(#REF!+#REF!)/Mil</f>
        <v>#REF!</v>
      </c>
      <c r="K9" s="96" t="e">
        <f>(#REF!+#REF!)/Mil</f>
        <v>#REF!</v>
      </c>
      <c r="L9" s="96" t="e">
        <f>(#REF!+#REF!)/Mil</f>
        <v>#REF!</v>
      </c>
      <c r="M9" s="96" t="e">
        <f>(#REF!+#REF!)/Mil</f>
        <v>#REF!</v>
      </c>
      <c r="N9" s="96" t="e">
        <f>(#REF!+#REF!)/Mil</f>
        <v>#REF!</v>
      </c>
      <c r="O9" s="96" t="e">
        <f>(#REF!+#REF!)/Mil</f>
        <v>#REF!</v>
      </c>
      <c r="P9" s="96" t="e">
        <f>(#REF!+#REF!)/Mil</f>
        <v>#REF!</v>
      </c>
      <c r="Q9" s="96" t="e">
        <f>(#REF!+#REF!)/Mil</f>
        <v>#REF!</v>
      </c>
      <c r="R9" s="96" t="e">
        <f>(#REF!+#REF!)/Mil</f>
        <v>#REF!</v>
      </c>
      <c r="S9" s="1077" t="e">
        <f>SUM(C9:R9)</f>
        <v>#REF!</v>
      </c>
      <c r="T9" s="1078" t="e">
        <f>S9/$S$14</f>
        <v>#REF!</v>
      </c>
    </row>
    <row r="10" spans="1:20" ht="26.25" customHeight="1">
      <c r="A10" s="74" t="e">
        <f>#REF!</f>
        <v>#REF!</v>
      </c>
      <c r="B10" s="95" t="e">
        <f>#REF!</f>
        <v>#REF!</v>
      </c>
      <c r="C10" s="96" t="e">
        <f>(#REF!+#REF!)/Mil</f>
        <v>#REF!</v>
      </c>
      <c r="D10" s="96" t="e">
        <f>(#REF!+#REF!)/Mil</f>
        <v>#REF!</v>
      </c>
      <c r="E10" s="96" t="e">
        <f>(#REF!+#REF!)/Mil</f>
        <v>#REF!</v>
      </c>
      <c r="F10" s="96" t="e">
        <f>(#REF!+#REF!)/Mil</f>
        <v>#REF!</v>
      </c>
      <c r="G10" s="96" t="e">
        <f>(#REF!+#REF!)/Mil</f>
        <v>#REF!</v>
      </c>
      <c r="H10" s="96" t="e">
        <f>(#REF!+#REF!)/Mil</f>
        <v>#REF!</v>
      </c>
      <c r="I10" s="96" t="e">
        <f>(#REF!+#REF!)/Mil</f>
        <v>#REF!</v>
      </c>
      <c r="J10" s="96" t="e">
        <f>(#REF!+#REF!)/Mil</f>
        <v>#REF!</v>
      </c>
      <c r="K10" s="96" t="e">
        <f>(#REF!+#REF!)/Mil</f>
        <v>#REF!</v>
      </c>
      <c r="L10" s="96" t="e">
        <f>(#REF!+#REF!)/Mil</f>
        <v>#REF!</v>
      </c>
      <c r="M10" s="96" t="e">
        <f>(#REF!+#REF!)/Mil</f>
        <v>#REF!</v>
      </c>
      <c r="N10" s="96" t="e">
        <f>(#REF!+#REF!)/Mil</f>
        <v>#REF!</v>
      </c>
      <c r="O10" s="96" t="e">
        <f>(#REF!+#REF!)/Mil</f>
        <v>#REF!</v>
      </c>
      <c r="P10" s="96" t="e">
        <f>(#REF!+#REF!)/Mil</f>
        <v>#REF!</v>
      </c>
      <c r="Q10" s="96" t="e">
        <f>(#REF!+#REF!)/Mil</f>
        <v>#REF!</v>
      </c>
      <c r="R10" s="96" t="e">
        <f>(#REF!+#REF!)/Mil</f>
        <v>#REF!</v>
      </c>
      <c r="S10" s="1077" t="e">
        <f>SUM(C10:R10)</f>
        <v>#REF!</v>
      </c>
      <c r="T10" s="1078" t="e">
        <f>S10/$S$14</f>
        <v>#REF!</v>
      </c>
    </row>
    <row r="11" spans="1:20" ht="26.25" customHeight="1">
      <c r="A11" s="74">
        <v>4</v>
      </c>
      <c r="B11" s="101" t="e">
        <f>#REF!</f>
        <v>#REF!</v>
      </c>
      <c r="C11" s="96" t="e">
        <f>(#REF!+#REF!)/Mil</f>
        <v>#REF!</v>
      </c>
      <c r="D11" s="96" t="e">
        <f>(#REF!+#REF!)/Mil</f>
        <v>#REF!</v>
      </c>
      <c r="E11" s="96" t="e">
        <f>(#REF!+#REF!)/Mil</f>
        <v>#REF!</v>
      </c>
      <c r="F11" s="96" t="e">
        <f>(#REF!+#REF!)/Mil</f>
        <v>#REF!</v>
      </c>
      <c r="G11" s="96" t="e">
        <f>(#REF!+#REF!)/Mil</f>
        <v>#REF!</v>
      </c>
      <c r="H11" s="96" t="e">
        <f>(#REF!+#REF!)/Mil</f>
        <v>#REF!</v>
      </c>
      <c r="I11" s="96" t="e">
        <f>(#REF!+#REF!)/Mil</f>
        <v>#REF!</v>
      </c>
      <c r="J11" s="96" t="e">
        <f>(#REF!+#REF!)/Mil</f>
        <v>#REF!</v>
      </c>
      <c r="K11" s="96" t="e">
        <f>(#REF!+#REF!)/Mil</f>
        <v>#REF!</v>
      </c>
      <c r="L11" s="96" t="e">
        <f>(#REF!+#REF!)/Mil</f>
        <v>#REF!</v>
      </c>
      <c r="M11" s="96" t="e">
        <f>(#REF!+#REF!)/Mil</f>
        <v>#REF!</v>
      </c>
      <c r="N11" s="96" t="e">
        <f>(#REF!+#REF!)/Mil</f>
        <v>#REF!</v>
      </c>
      <c r="O11" s="96" t="e">
        <f>(#REF!+#REF!)/Mil</f>
        <v>#REF!</v>
      </c>
      <c r="P11" s="96" t="e">
        <f>(#REF!+#REF!)/Mil</f>
        <v>#REF!</v>
      </c>
      <c r="Q11" s="96" t="e">
        <f>(#REF!+#REF!)/Mil</f>
        <v>#REF!</v>
      </c>
      <c r="R11" s="96" t="e">
        <f>(#REF!+#REF!)/Mil</f>
        <v>#REF!</v>
      </c>
      <c r="S11" s="1077" t="e">
        <f>SUM(C11:R11)</f>
        <v>#REF!</v>
      </c>
      <c r="T11" s="1078" t="e">
        <f>S11/$S$14</f>
        <v>#REF!</v>
      </c>
    </row>
    <row r="12" spans="1:20" ht="26.25" customHeight="1">
      <c r="A12" s="74">
        <v>5</v>
      </c>
      <c r="B12" s="101" t="e">
        <f>#REF!</f>
        <v>#REF!</v>
      </c>
      <c r="C12" s="96" t="e">
        <f>(#REF!+#REF!)/Mil</f>
        <v>#REF!</v>
      </c>
      <c r="D12" s="96" t="e">
        <f>(#REF!+#REF!)/Mil</f>
        <v>#REF!</v>
      </c>
      <c r="E12" s="96" t="e">
        <f>(#REF!+#REF!)/Mil</f>
        <v>#REF!</v>
      </c>
      <c r="F12" s="96" t="e">
        <f>(#REF!+#REF!)/Mil</f>
        <v>#REF!</v>
      </c>
      <c r="G12" s="96" t="e">
        <f>(#REF!+#REF!)/Mil</f>
        <v>#REF!</v>
      </c>
      <c r="H12" s="96" t="e">
        <f>(#REF!+#REF!)/Mil</f>
        <v>#REF!</v>
      </c>
      <c r="I12" s="96" t="e">
        <f>(#REF!+#REF!)/Mil</f>
        <v>#REF!</v>
      </c>
      <c r="J12" s="96" t="e">
        <f>(#REF!+#REF!)/Mil</f>
        <v>#REF!</v>
      </c>
      <c r="K12" s="96" t="e">
        <f>(#REF!+#REF!)/Mil</f>
        <v>#REF!</v>
      </c>
      <c r="L12" s="96" t="e">
        <f>(#REF!+#REF!)/Mil</f>
        <v>#REF!</v>
      </c>
      <c r="M12" s="96" t="e">
        <f>(#REF!+#REF!)/Mil</f>
        <v>#REF!</v>
      </c>
      <c r="N12" s="96" t="e">
        <f>(#REF!+#REF!)/Mil</f>
        <v>#REF!</v>
      </c>
      <c r="O12" s="96" t="e">
        <f>(#REF!+#REF!)/Mil</f>
        <v>#REF!</v>
      </c>
      <c r="P12" s="96" t="e">
        <f>(#REF!+#REF!)/Mil</f>
        <v>#REF!</v>
      </c>
      <c r="Q12" s="96" t="e">
        <f>(#REF!+#REF!)/Mil</f>
        <v>#REF!</v>
      </c>
      <c r="R12" s="96" t="e">
        <f>(#REF!+#REF!)/Mil</f>
        <v>#REF!</v>
      </c>
      <c r="S12" s="1077" t="e">
        <f>SUM(C12:R12)</f>
        <v>#REF!</v>
      </c>
      <c r="T12" s="1078" t="e">
        <f>S12/$S$14</f>
        <v>#REF!</v>
      </c>
    </row>
    <row r="13" spans="1:20">
      <c r="A13" s="41"/>
      <c r="B13" s="51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1079"/>
      <c r="S13" s="1079"/>
      <c r="T13" s="98"/>
    </row>
    <row r="14" spans="1:20" ht="26.25" customHeight="1">
      <c r="A14" s="41"/>
      <c r="B14" s="1080" t="s">
        <v>490</v>
      </c>
      <c r="C14" s="1081" t="e">
        <f>SUM(C8:C12)</f>
        <v>#REF!</v>
      </c>
      <c r="D14" s="1081" t="e">
        <f t="shared" ref="D14:T14" si="0">SUM(D8:D12)</f>
        <v>#REF!</v>
      </c>
      <c r="E14" s="1081" t="e">
        <f t="shared" si="0"/>
        <v>#REF!</v>
      </c>
      <c r="F14" s="1081" t="e">
        <f t="shared" si="0"/>
        <v>#REF!</v>
      </c>
      <c r="G14" s="1081" t="e">
        <f t="shared" si="0"/>
        <v>#REF!</v>
      </c>
      <c r="H14" s="1081" t="e">
        <f t="shared" si="0"/>
        <v>#REF!</v>
      </c>
      <c r="I14" s="1081" t="e">
        <f t="shared" si="0"/>
        <v>#REF!</v>
      </c>
      <c r="J14" s="1081" t="e">
        <f t="shared" si="0"/>
        <v>#REF!</v>
      </c>
      <c r="K14" s="1081" t="e">
        <f t="shared" si="0"/>
        <v>#REF!</v>
      </c>
      <c r="L14" s="1081" t="e">
        <f t="shared" si="0"/>
        <v>#REF!</v>
      </c>
      <c r="M14" s="1081" t="e">
        <f t="shared" si="0"/>
        <v>#REF!</v>
      </c>
      <c r="N14" s="1081" t="e">
        <f t="shared" si="0"/>
        <v>#REF!</v>
      </c>
      <c r="O14" s="1081" t="e">
        <f t="shared" si="0"/>
        <v>#REF!</v>
      </c>
      <c r="P14" s="1081" t="e">
        <f t="shared" si="0"/>
        <v>#REF!</v>
      </c>
      <c r="Q14" s="1081" t="e">
        <f t="shared" si="0"/>
        <v>#REF!</v>
      </c>
      <c r="R14" s="1081" t="e">
        <f t="shared" si="0"/>
        <v>#REF!</v>
      </c>
      <c r="S14" s="1081" t="e">
        <f t="shared" si="0"/>
        <v>#REF!</v>
      </c>
      <c r="T14" s="1082" t="e">
        <f t="shared" si="0"/>
        <v>#REF!</v>
      </c>
    </row>
    <row r="15" spans="1:20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>
      <c r="A17" s="1067" t="s">
        <v>491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>
      <c r="A18" s="951" t="s">
        <v>487</v>
      </c>
      <c r="B18" s="1074" t="s">
        <v>488</v>
      </c>
      <c r="C18" s="1075" t="str">
        <f>C6</f>
        <v>Monto en miles de Soles (S/ x 1000)</v>
      </c>
      <c r="D18" s="1075"/>
      <c r="E18" s="1075"/>
      <c r="F18" s="1075"/>
      <c r="G18" s="1075"/>
      <c r="H18" s="1075"/>
      <c r="I18" s="1075"/>
      <c r="J18" s="1075"/>
      <c r="K18" s="1075"/>
      <c r="L18" s="1075"/>
      <c r="M18" s="1075"/>
      <c r="N18" s="1075"/>
      <c r="O18" s="1075"/>
      <c r="P18" s="1075"/>
      <c r="Q18" s="1075"/>
      <c r="R18" s="1075"/>
      <c r="S18" s="1074" t="s">
        <v>18</v>
      </c>
      <c r="T18" s="1074" t="s">
        <v>107</v>
      </c>
    </row>
    <row r="19" spans="1:20">
      <c r="A19" s="951"/>
      <c r="B19" s="1074"/>
      <c r="C19" s="1076" t="e">
        <f>C7</f>
        <v>#REF!</v>
      </c>
      <c r="D19" s="1076" t="e">
        <f t="shared" ref="D19:R19" si="1">D7</f>
        <v>#REF!</v>
      </c>
      <c r="E19" s="1076" t="e">
        <f t="shared" si="1"/>
        <v>#REF!</v>
      </c>
      <c r="F19" s="1076" t="e">
        <f t="shared" si="1"/>
        <v>#REF!</v>
      </c>
      <c r="G19" s="1076" t="e">
        <f t="shared" si="1"/>
        <v>#REF!</v>
      </c>
      <c r="H19" s="1076" t="e">
        <f t="shared" si="1"/>
        <v>#REF!</v>
      </c>
      <c r="I19" s="1076" t="e">
        <f t="shared" si="1"/>
        <v>#REF!</v>
      </c>
      <c r="J19" s="1076" t="e">
        <f t="shared" si="1"/>
        <v>#REF!</v>
      </c>
      <c r="K19" s="1076" t="e">
        <f t="shared" si="1"/>
        <v>#REF!</v>
      </c>
      <c r="L19" s="1076" t="e">
        <f t="shared" si="1"/>
        <v>#REF!</v>
      </c>
      <c r="M19" s="1076" t="e">
        <f t="shared" si="1"/>
        <v>#REF!</v>
      </c>
      <c r="N19" s="1076" t="e">
        <f t="shared" si="1"/>
        <v>#REF!</v>
      </c>
      <c r="O19" s="1076" t="e">
        <f t="shared" si="1"/>
        <v>#REF!</v>
      </c>
      <c r="P19" s="1076" t="e">
        <f t="shared" si="1"/>
        <v>#REF!</v>
      </c>
      <c r="Q19" s="1076" t="e">
        <f t="shared" si="1"/>
        <v>#REF!</v>
      </c>
      <c r="R19" s="1076" t="e">
        <f t="shared" si="1"/>
        <v>#REF!</v>
      </c>
      <c r="S19" s="1074"/>
      <c r="T19" s="1074"/>
    </row>
    <row r="20" spans="1:20" ht="26.25" customHeight="1">
      <c r="A20" s="74" t="e">
        <f>A8</f>
        <v>#REF!</v>
      </c>
      <c r="B20" s="95" t="e">
        <f>B8</f>
        <v>#REF!</v>
      </c>
      <c r="C20" s="96" t="e">
        <f>#REF!/Mil</f>
        <v>#REF!</v>
      </c>
      <c r="D20" s="96" t="e">
        <f>#REF!/Mil</f>
        <v>#REF!</v>
      </c>
      <c r="E20" s="96" t="e">
        <f>#REF!/Mil</f>
        <v>#REF!</v>
      </c>
      <c r="F20" s="96" t="e">
        <f>#REF!/Mil</f>
        <v>#REF!</v>
      </c>
      <c r="G20" s="96" t="e">
        <f>#REF!/Mil</f>
        <v>#REF!</v>
      </c>
      <c r="H20" s="96" t="e">
        <f>#REF!/Mil</f>
        <v>#REF!</v>
      </c>
      <c r="I20" s="96" t="e">
        <f>#REF!/Mil</f>
        <v>#REF!</v>
      </c>
      <c r="J20" s="96" t="e">
        <f>#REF!/Mil</f>
        <v>#REF!</v>
      </c>
      <c r="K20" s="96" t="e">
        <f>#REF!/Mil</f>
        <v>#REF!</v>
      </c>
      <c r="L20" s="96" t="e">
        <f>#REF!/Mil</f>
        <v>#REF!</v>
      </c>
      <c r="M20" s="96" t="e">
        <f>#REF!/Mil</f>
        <v>#REF!</v>
      </c>
      <c r="N20" s="96" t="e">
        <f>#REF!/Mil</f>
        <v>#REF!</v>
      </c>
      <c r="O20" s="96" t="e">
        <f>#REF!/Mil</f>
        <v>#REF!</v>
      </c>
      <c r="P20" s="96" t="e">
        <f>#REF!/Mil</f>
        <v>#REF!</v>
      </c>
      <c r="Q20" s="96" t="e">
        <f>#REF!/Mil</f>
        <v>#REF!</v>
      </c>
      <c r="R20" s="96" t="e">
        <f>#REF!/Mil</f>
        <v>#REF!</v>
      </c>
      <c r="S20" s="1077" t="e">
        <f>SUM(C20:R20)</f>
        <v>#REF!</v>
      </c>
      <c r="T20" s="1078" t="e">
        <f>S20/$S$26</f>
        <v>#REF!</v>
      </c>
    </row>
    <row r="21" spans="1:20" ht="26.25" customHeight="1">
      <c r="A21" s="74" t="e">
        <f>#REF!</f>
        <v>#REF!</v>
      </c>
      <c r="B21" s="95" t="e">
        <f>B9</f>
        <v>#REF!</v>
      </c>
      <c r="C21" s="96" t="e">
        <f>#REF!/Mil</f>
        <v>#REF!</v>
      </c>
      <c r="D21" s="96" t="e">
        <f>#REF!/Mil</f>
        <v>#REF!</v>
      </c>
      <c r="E21" s="96" t="e">
        <f>#REF!/Mil</f>
        <v>#REF!</v>
      </c>
      <c r="F21" s="96" t="e">
        <f>#REF!/Mil</f>
        <v>#REF!</v>
      </c>
      <c r="G21" s="96" t="e">
        <f>#REF!/Mil</f>
        <v>#REF!</v>
      </c>
      <c r="H21" s="96" t="e">
        <f>#REF!/Mil</f>
        <v>#REF!</v>
      </c>
      <c r="I21" s="96" t="e">
        <f>#REF!/Mil</f>
        <v>#REF!</v>
      </c>
      <c r="J21" s="96" t="e">
        <f>#REF!/Mil</f>
        <v>#REF!</v>
      </c>
      <c r="K21" s="96" t="e">
        <f>#REF!/Mil</f>
        <v>#REF!</v>
      </c>
      <c r="L21" s="96" t="e">
        <f>#REF!/Mil</f>
        <v>#REF!</v>
      </c>
      <c r="M21" s="96" t="e">
        <f>#REF!/Mil</f>
        <v>#REF!</v>
      </c>
      <c r="N21" s="96" t="e">
        <f>#REF!/Mil</f>
        <v>#REF!</v>
      </c>
      <c r="O21" s="96" t="e">
        <f>#REF!/Mil</f>
        <v>#REF!</v>
      </c>
      <c r="P21" s="96" t="e">
        <f>#REF!/Mil</f>
        <v>#REF!</v>
      </c>
      <c r="Q21" s="96" t="e">
        <f>#REF!/Mil</f>
        <v>#REF!</v>
      </c>
      <c r="R21" s="96" t="e">
        <f>#REF!/Mil</f>
        <v>#REF!</v>
      </c>
      <c r="S21" s="1077" t="e">
        <f>SUM(C21:R21)</f>
        <v>#REF!</v>
      </c>
      <c r="T21" s="1078" t="e">
        <f t="shared" ref="T21:T26" si="2">S21/$S$26</f>
        <v>#REF!</v>
      </c>
    </row>
    <row r="22" spans="1:20" ht="26.25" customHeight="1">
      <c r="A22" s="74" t="e">
        <f>#REF!</f>
        <v>#REF!</v>
      </c>
      <c r="B22" s="95" t="e">
        <f>B10</f>
        <v>#REF!</v>
      </c>
      <c r="C22" s="96" t="e">
        <f>#REF!/Mil</f>
        <v>#REF!</v>
      </c>
      <c r="D22" s="96" t="e">
        <f>#REF!/Mil</f>
        <v>#REF!</v>
      </c>
      <c r="E22" s="96" t="e">
        <f>#REF!/Mil</f>
        <v>#REF!</v>
      </c>
      <c r="F22" s="96" t="e">
        <f>#REF!/Mil</f>
        <v>#REF!</v>
      </c>
      <c r="G22" s="96" t="e">
        <f>#REF!/Mil</f>
        <v>#REF!</v>
      </c>
      <c r="H22" s="96" t="e">
        <f>#REF!/Mil</f>
        <v>#REF!</v>
      </c>
      <c r="I22" s="96" t="e">
        <f>#REF!/Mil</f>
        <v>#REF!</v>
      </c>
      <c r="J22" s="96" t="e">
        <f>#REF!/Mil</f>
        <v>#REF!</v>
      </c>
      <c r="K22" s="96" t="e">
        <f>#REF!/Mil</f>
        <v>#REF!</v>
      </c>
      <c r="L22" s="96" t="e">
        <f>#REF!/Mil</f>
        <v>#REF!</v>
      </c>
      <c r="M22" s="96" t="e">
        <f>#REF!/Mil</f>
        <v>#REF!</v>
      </c>
      <c r="N22" s="96" t="e">
        <f>#REF!/Mil</f>
        <v>#REF!</v>
      </c>
      <c r="O22" s="96" t="e">
        <f>#REF!/Mil</f>
        <v>#REF!</v>
      </c>
      <c r="P22" s="96" t="e">
        <f>#REF!/Mil</f>
        <v>#REF!</v>
      </c>
      <c r="Q22" s="96" t="e">
        <f>#REF!/Mil</f>
        <v>#REF!</v>
      </c>
      <c r="R22" s="96" t="e">
        <f>#REF!/Mil</f>
        <v>#REF!</v>
      </c>
      <c r="S22" s="1077" t="e">
        <f>SUM(C22:R22)</f>
        <v>#REF!</v>
      </c>
      <c r="T22" s="1078" t="e">
        <f t="shared" si="2"/>
        <v>#REF!</v>
      </c>
    </row>
    <row r="23" spans="1:20" ht="26.25" customHeight="1">
      <c r="A23" s="74">
        <v>4</v>
      </c>
      <c r="B23" s="95" t="e">
        <f>B11</f>
        <v>#REF!</v>
      </c>
      <c r="C23" s="96" t="e">
        <f>#REF!/Mil</f>
        <v>#REF!</v>
      </c>
      <c r="D23" s="96" t="e">
        <f>#REF!/Mil</f>
        <v>#REF!</v>
      </c>
      <c r="E23" s="96" t="e">
        <f>#REF!/Mil</f>
        <v>#REF!</v>
      </c>
      <c r="F23" s="96" t="e">
        <f>#REF!/Mil</f>
        <v>#REF!</v>
      </c>
      <c r="G23" s="96" t="e">
        <f>#REF!/Mil</f>
        <v>#REF!</v>
      </c>
      <c r="H23" s="96" t="e">
        <f>#REF!/Mil</f>
        <v>#REF!</v>
      </c>
      <c r="I23" s="96" t="e">
        <f>#REF!/Mil</f>
        <v>#REF!</v>
      </c>
      <c r="J23" s="96" t="e">
        <f>#REF!/Mil</f>
        <v>#REF!</v>
      </c>
      <c r="K23" s="96" t="e">
        <f>#REF!/Mil</f>
        <v>#REF!</v>
      </c>
      <c r="L23" s="96" t="e">
        <f>#REF!/Mil</f>
        <v>#REF!</v>
      </c>
      <c r="M23" s="96" t="e">
        <f>#REF!/Mil</f>
        <v>#REF!</v>
      </c>
      <c r="N23" s="96" t="e">
        <f>#REF!/Mil</f>
        <v>#REF!</v>
      </c>
      <c r="O23" s="96" t="e">
        <f>#REF!/Mil</f>
        <v>#REF!</v>
      </c>
      <c r="P23" s="96" t="e">
        <f>#REF!/Mil</f>
        <v>#REF!</v>
      </c>
      <c r="Q23" s="96" t="e">
        <f>#REF!/Mil</f>
        <v>#REF!</v>
      </c>
      <c r="R23" s="96" t="e">
        <f>#REF!/Mil</f>
        <v>#REF!</v>
      </c>
      <c r="S23" s="1077" t="e">
        <f>SUM(C23:R23)</f>
        <v>#REF!</v>
      </c>
      <c r="T23" s="1078" t="e">
        <f t="shared" si="2"/>
        <v>#REF!</v>
      </c>
    </row>
    <row r="24" spans="1:20" ht="26.25" customHeight="1">
      <c r="A24" s="74">
        <v>5</v>
      </c>
      <c r="B24" s="95" t="e">
        <f>B12</f>
        <v>#REF!</v>
      </c>
      <c r="C24" s="96" t="e">
        <f>#REF!/Mil</f>
        <v>#REF!</v>
      </c>
      <c r="D24" s="96" t="e">
        <f>#REF!/Mil</f>
        <v>#REF!</v>
      </c>
      <c r="E24" s="96" t="e">
        <f>#REF!/Mil</f>
        <v>#REF!</v>
      </c>
      <c r="F24" s="96" t="e">
        <f>#REF!/Mil</f>
        <v>#REF!</v>
      </c>
      <c r="G24" s="96" t="e">
        <f>#REF!/Mil</f>
        <v>#REF!</v>
      </c>
      <c r="H24" s="96" t="e">
        <f>#REF!/Mil</f>
        <v>#REF!</v>
      </c>
      <c r="I24" s="96" t="e">
        <f>#REF!/Mil</f>
        <v>#REF!</v>
      </c>
      <c r="J24" s="96" t="e">
        <f>#REF!/Mil</f>
        <v>#REF!</v>
      </c>
      <c r="K24" s="96" t="e">
        <f>#REF!/Mil</f>
        <v>#REF!</v>
      </c>
      <c r="L24" s="96" t="e">
        <f>#REF!/Mil</f>
        <v>#REF!</v>
      </c>
      <c r="M24" s="96" t="e">
        <f>#REF!/Mil</f>
        <v>#REF!</v>
      </c>
      <c r="N24" s="96" t="e">
        <f>#REF!/Mil</f>
        <v>#REF!</v>
      </c>
      <c r="O24" s="96" t="e">
        <f>#REF!/Mil</f>
        <v>#REF!</v>
      </c>
      <c r="P24" s="96" t="e">
        <f>#REF!/Mil</f>
        <v>#REF!</v>
      </c>
      <c r="Q24" s="96" t="e">
        <f>#REF!/Mil</f>
        <v>#REF!</v>
      </c>
      <c r="R24" s="96" t="e">
        <f>#REF!/Mil</f>
        <v>#REF!</v>
      </c>
      <c r="S24" s="1077" t="e">
        <f>SUM(C24:R24)</f>
        <v>#REF!</v>
      </c>
      <c r="T24" s="1078" t="e">
        <f t="shared" si="2"/>
        <v>#REF!</v>
      </c>
    </row>
    <row r="25" spans="1:20">
      <c r="A25" s="41"/>
      <c r="B25" s="51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1079"/>
      <c r="S25" s="1079"/>
      <c r="T25" s="98"/>
    </row>
    <row r="26" spans="1:20" ht="26.25" customHeight="1">
      <c r="A26" s="41"/>
      <c r="B26" s="1080" t="s">
        <v>490</v>
      </c>
      <c r="C26" s="1081" t="e">
        <f>SUM(C20:C24)</f>
        <v>#REF!</v>
      </c>
      <c r="D26" s="1081" t="e">
        <f t="shared" ref="D26:S26" si="3">SUM(D20:D24)</f>
        <v>#REF!</v>
      </c>
      <c r="E26" s="1081" t="e">
        <f t="shared" si="3"/>
        <v>#REF!</v>
      </c>
      <c r="F26" s="1081" t="e">
        <f t="shared" si="3"/>
        <v>#REF!</v>
      </c>
      <c r="G26" s="1081" t="e">
        <f t="shared" si="3"/>
        <v>#REF!</v>
      </c>
      <c r="H26" s="1081" t="e">
        <f t="shared" si="3"/>
        <v>#REF!</v>
      </c>
      <c r="I26" s="1081" t="e">
        <f t="shared" si="3"/>
        <v>#REF!</v>
      </c>
      <c r="J26" s="1081" t="e">
        <f t="shared" si="3"/>
        <v>#REF!</v>
      </c>
      <c r="K26" s="1081" t="e">
        <f t="shared" si="3"/>
        <v>#REF!</v>
      </c>
      <c r="L26" s="1081" t="e">
        <f t="shared" si="3"/>
        <v>#REF!</v>
      </c>
      <c r="M26" s="1081" t="e">
        <f t="shared" si="3"/>
        <v>#REF!</v>
      </c>
      <c r="N26" s="1081" t="e">
        <f t="shared" si="3"/>
        <v>#REF!</v>
      </c>
      <c r="O26" s="1081" t="e">
        <f t="shared" si="3"/>
        <v>#REF!</v>
      </c>
      <c r="P26" s="1081" t="e">
        <f t="shared" si="3"/>
        <v>#REF!</v>
      </c>
      <c r="Q26" s="1081" t="e">
        <f t="shared" si="3"/>
        <v>#REF!</v>
      </c>
      <c r="R26" s="1081" t="e">
        <f t="shared" si="3"/>
        <v>#REF!</v>
      </c>
      <c r="S26" s="1081" t="e">
        <f t="shared" si="3"/>
        <v>#REF!</v>
      </c>
      <c r="T26" s="1082" t="e">
        <f t="shared" si="2"/>
        <v>#REF!</v>
      </c>
    </row>
    <row r="27" spans="1:20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>
      <c r="A29" s="1067" t="s">
        <v>492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>
      <c r="A30" s="951"/>
      <c r="B30" s="1074" t="s">
        <v>488</v>
      </c>
      <c r="C30" s="1075" t="str">
        <f>C18</f>
        <v>Monto en miles de Soles (S/ x 1000)</v>
      </c>
      <c r="D30" s="1075"/>
      <c r="E30" s="1075"/>
      <c r="F30" s="1075"/>
      <c r="G30" s="1075"/>
      <c r="H30" s="1075"/>
      <c r="I30" s="1075"/>
      <c r="J30" s="1075"/>
      <c r="K30" s="1075"/>
      <c r="L30" s="1075"/>
      <c r="M30" s="1075"/>
      <c r="N30" s="1075"/>
      <c r="O30" s="1075"/>
      <c r="P30" s="1075"/>
      <c r="Q30" s="1075"/>
      <c r="R30" s="1075"/>
      <c r="S30" s="1074" t="s">
        <v>18</v>
      </c>
      <c r="T30" s="1074" t="s">
        <v>107</v>
      </c>
    </row>
    <row r="31" spans="1:20">
      <c r="A31" s="951"/>
      <c r="B31" s="1074"/>
      <c r="C31" s="1076" t="e">
        <f>C7</f>
        <v>#REF!</v>
      </c>
      <c r="D31" s="1076" t="e">
        <f t="shared" ref="D31:R31" si="4">D7</f>
        <v>#REF!</v>
      </c>
      <c r="E31" s="1076" t="e">
        <f t="shared" si="4"/>
        <v>#REF!</v>
      </c>
      <c r="F31" s="1076" t="e">
        <f t="shared" si="4"/>
        <v>#REF!</v>
      </c>
      <c r="G31" s="1076" t="e">
        <f t="shared" si="4"/>
        <v>#REF!</v>
      </c>
      <c r="H31" s="1076" t="e">
        <f t="shared" si="4"/>
        <v>#REF!</v>
      </c>
      <c r="I31" s="1076" t="e">
        <f t="shared" si="4"/>
        <v>#REF!</v>
      </c>
      <c r="J31" s="1076" t="e">
        <f t="shared" si="4"/>
        <v>#REF!</v>
      </c>
      <c r="K31" s="1076" t="e">
        <f t="shared" si="4"/>
        <v>#REF!</v>
      </c>
      <c r="L31" s="1076" t="e">
        <f t="shared" si="4"/>
        <v>#REF!</v>
      </c>
      <c r="M31" s="1076" t="e">
        <f t="shared" si="4"/>
        <v>#REF!</v>
      </c>
      <c r="N31" s="1076" t="e">
        <f t="shared" si="4"/>
        <v>#REF!</v>
      </c>
      <c r="O31" s="1076" t="e">
        <f t="shared" si="4"/>
        <v>#REF!</v>
      </c>
      <c r="P31" s="1076" t="e">
        <f t="shared" si="4"/>
        <v>#REF!</v>
      </c>
      <c r="Q31" s="1076" t="e">
        <f t="shared" si="4"/>
        <v>#REF!</v>
      </c>
      <c r="R31" s="1076" t="e">
        <f t="shared" si="4"/>
        <v>#REF!</v>
      </c>
      <c r="S31" s="1074"/>
      <c r="T31" s="1074"/>
    </row>
    <row r="32" spans="1:20" ht="26.25" customHeight="1">
      <c r="A32" s="74" t="e">
        <f t="shared" ref="A32:B36" si="5">A8</f>
        <v>#REF!</v>
      </c>
      <c r="B32" s="95" t="e">
        <f t="shared" si="5"/>
        <v>#REF!</v>
      </c>
      <c r="C32" s="96" t="e">
        <f>#REF!/Mil</f>
        <v>#REF!</v>
      </c>
      <c r="D32" s="96" t="e">
        <f>#REF!/Mil</f>
        <v>#REF!</v>
      </c>
      <c r="E32" s="96" t="e">
        <f>#REF!/Mil</f>
        <v>#REF!</v>
      </c>
      <c r="F32" s="96" t="e">
        <f>#REF!/Mil</f>
        <v>#REF!</v>
      </c>
      <c r="G32" s="96" t="e">
        <f>#REF!/Mil</f>
        <v>#REF!</v>
      </c>
      <c r="H32" s="96" t="e">
        <f>#REF!/Mil</f>
        <v>#REF!</v>
      </c>
      <c r="I32" s="96" t="e">
        <f>#REF!/Mil</f>
        <v>#REF!</v>
      </c>
      <c r="J32" s="96" t="e">
        <f>#REF!/Mil</f>
        <v>#REF!</v>
      </c>
      <c r="K32" s="96" t="e">
        <f>#REF!/Mil</f>
        <v>#REF!</v>
      </c>
      <c r="L32" s="96" t="e">
        <f>#REF!/Mil</f>
        <v>#REF!</v>
      </c>
      <c r="M32" s="96" t="e">
        <f>#REF!/Mil</f>
        <v>#REF!</v>
      </c>
      <c r="N32" s="96" t="e">
        <f>#REF!/Mil</f>
        <v>#REF!</v>
      </c>
      <c r="O32" s="96" t="e">
        <f>#REF!/Mil</f>
        <v>#REF!</v>
      </c>
      <c r="P32" s="96" t="e">
        <f>#REF!/Mil</f>
        <v>#REF!</v>
      </c>
      <c r="Q32" s="96" t="e">
        <f>#REF!/Mil</f>
        <v>#REF!</v>
      </c>
      <c r="R32" s="96" t="e">
        <f>#REF!/Mil</f>
        <v>#REF!</v>
      </c>
      <c r="S32" s="1077" t="e">
        <f>SUM(C32:R32)</f>
        <v>#REF!</v>
      </c>
      <c r="T32" s="1078" t="e">
        <f>S32/$S$38</f>
        <v>#REF!</v>
      </c>
    </row>
    <row r="33" spans="1:20" ht="26.25" customHeight="1">
      <c r="A33" s="74" t="e">
        <f t="shared" si="5"/>
        <v>#REF!</v>
      </c>
      <c r="B33" s="95" t="e">
        <f t="shared" si="5"/>
        <v>#REF!</v>
      </c>
      <c r="C33" s="96" t="e">
        <f>#REF!/Mil</f>
        <v>#REF!</v>
      </c>
      <c r="D33" s="96" t="e">
        <f>#REF!/Mil</f>
        <v>#REF!</v>
      </c>
      <c r="E33" s="96" t="e">
        <f>#REF!/Mil</f>
        <v>#REF!</v>
      </c>
      <c r="F33" s="96" t="e">
        <f>#REF!/Mil</f>
        <v>#REF!</v>
      </c>
      <c r="G33" s="96" t="e">
        <f>#REF!/Mil</f>
        <v>#REF!</v>
      </c>
      <c r="H33" s="96" t="e">
        <f>#REF!/Mil</f>
        <v>#REF!</v>
      </c>
      <c r="I33" s="96" t="e">
        <f>#REF!/Mil</f>
        <v>#REF!</v>
      </c>
      <c r="J33" s="96" t="e">
        <f>#REF!/Mil</f>
        <v>#REF!</v>
      </c>
      <c r="K33" s="96" t="e">
        <f>#REF!/Mil</f>
        <v>#REF!</v>
      </c>
      <c r="L33" s="96" t="e">
        <f>#REF!/Mil</f>
        <v>#REF!</v>
      </c>
      <c r="M33" s="96" t="e">
        <f>#REF!/Mil</f>
        <v>#REF!</v>
      </c>
      <c r="N33" s="96" t="e">
        <f>#REF!/Mil</f>
        <v>#REF!</v>
      </c>
      <c r="O33" s="96" t="e">
        <f>#REF!/Mil</f>
        <v>#REF!</v>
      </c>
      <c r="P33" s="96" t="e">
        <f>#REF!/Mil</f>
        <v>#REF!</v>
      </c>
      <c r="Q33" s="96" t="e">
        <f>#REF!/Mil</f>
        <v>#REF!</v>
      </c>
      <c r="R33" s="96" t="e">
        <f>#REF!/Mil</f>
        <v>#REF!</v>
      </c>
      <c r="S33" s="1077" t="e">
        <f>SUM(C33:R33)</f>
        <v>#REF!</v>
      </c>
      <c r="T33" s="1078" t="e">
        <f t="shared" ref="T33:T38" si="6">S33/$S$38</f>
        <v>#REF!</v>
      </c>
    </row>
    <row r="34" spans="1:20" ht="26.25" customHeight="1">
      <c r="A34" s="74" t="e">
        <f t="shared" si="5"/>
        <v>#REF!</v>
      </c>
      <c r="B34" s="95" t="e">
        <f t="shared" si="5"/>
        <v>#REF!</v>
      </c>
      <c r="C34" s="96" t="e">
        <f>#REF!/Mil</f>
        <v>#REF!</v>
      </c>
      <c r="D34" s="96" t="e">
        <f>#REF!/Mil</f>
        <v>#REF!</v>
      </c>
      <c r="E34" s="96" t="e">
        <f>#REF!/Mil</f>
        <v>#REF!</v>
      </c>
      <c r="F34" s="96" t="e">
        <f>#REF!/Mil</f>
        <v>#REF!</v>
      </c>
      <c r="G34" s="96" t="e">
        <f>#REF!/Mil</f>
        <v>#REF!</v>
      </c>
      <c r="H34" s="96" t="e">
        <f>#REF!/Mil</f>
        <v>#REF!</v>
      </c>
      <c r="I34" s="96" t="e">
        <f>#REF!/Mil</f>
        <v>#REF!</v>
      </c>
      <c r="J34" s="96" t="e">
        <f>#REF!/Mil</f>
        <v>#REF!</v>
      </c>
      <c r="K34" s="96" t="e">
        <f>#REF!/Mil</f>
        <v>#REF!</v>
      </c>
      <c r="L34" s="96" t="e">
        <f>#REF!/Mil</f>
        <v>#REF!</v>
      </c>
      <c r="M34" s="96" t="e">
        <f>#REF!/Mil</f>
        <v>#REF!</v>
      </c>
      <c r="N34" s="96" t="e">
        <f>#REF!/Mil</f>
        <v>#REF!</v>
      </c>
      <c r="O34" s="96" t="e">
        <f>#REF!/Mil</f>
        <v>#REF!</v>
      </c>
      <c r="P34" s="96" t="e">
        <f>#REF!/Mil</f>
        <v>#REF!</v>
      </c>
      <c r="Q34" s="96" t="e">
        <f>#REF!/Mil</f>
        <v>#REF!</v>
      </c>
      <c r="R34" s="96" t="e">
        <f>#REF!/Mil</f>
        <v>#REF!</v>
      </c>
      <c r="S34" s="1077" t="e">
        <f>SUM(C34:R34)</f>
        <v>#REF!</v>
      </c>
      <c r="T34" s="1078" t="e">
        <f t="shared" si="6"/>
        <v>#REF!</v>
      </c>
    </row>
    <row r="35" spans="1:20" ht="26.25" customHeight="1">
      <c r="A35" s="74">
        <f t="shared" si="5"/>
        <v>4</v>
      </c>
      <c r="B35" s="95" t="e">
        <f t="shared" si="5"/>
        <v>#REF!</v>
      </c>
      <c r="C35" s="96" t="e">
        <f>#REF!/Mil</f>
        <v>#REF!</v>
      </c>
      <c r="D35" s="96" t="e">
        <f>#REF!/Mil</f>
        <v>#REF!</v>
      </c>
      <c r="E35" s="96" t="e">
        <f>#REF!/Mil</f>
        <v>#REF!</v>
      </c>
      <c r="F35" s="96" t="e">
        <f>#REF!/Mil</f>
        <v>#REF!</v>
      </c>
      <c r="G35" s="96" t="e">
        <f>#REF!/Mil</f>
        <v>#REF!</v>
      </c>
      <c r="H35" s="96" t="e">
        <f>#REF!/Mil</f>
        <v>#REF!</v>
      </c>
      <c r="I35" s="96" t="e">
        <f>#REF!/Mil</f>
        <v>#REF!</v>
      </c>
      <c r="J35" s="96" t="e">
        <f>#REF!/Mil</f>
        <v>#REF!</v>
      </c>
      <c r="K35" s="96" t="e">
        <f>#REF!/Mil</f>
        <v>#REF!</v>
      </c>
      <c r="L35" s="96" t="e">
        <f>#REF!/Mil</f>
        <v>#REF!</v>
      </c>
      <c r="M35" s="96" t="e">
        <f>#REF!/Mil</f>
        <v>#REF!</v>
      </c>
      <c r="N35" s="96" t="e">
        <f>#REF!/Mil</f>
        <v>#REF!</v>
      </c>
      <c r="O35" s="96" t="e">
        <f>#REF!/Mil</f>
        <v>#REF!</v>
      </c>
      <c r="P35" s="96" t="e">
        <f>#REF!/Mil</f>
        <v>#REF!</v>
      </c>
      <c r="Q35" s="96" t="e">
        <f>#REF!/Mil</f>
        <v>#REF!</v>
      </c>
      <c r="R35" s="96" t="e">
        <f>#REF!/Mil</f>
        <v>#REF!</v>
      </c>
      <c r="S35" s="1077" t="e">
        <f>SUM(C35:R35)</f>
        <v>#REF!</v>
      </c>
      <c r="T35" s="1078" t="e">
        <f t="shared" si="6"/>
        <v>#REF!</v>
      </c>
    </row>
    <row r="36" spans="1:20" ht="26.25" customHeight="1">
      <c r="A36" s="74">
        <f t="shared" si="5"/>
        <v>5</v>
      </c>
      <c r="B36" s="95" t="e">
        <f t="shared" si="5"/>
        <v>#REF!</v>
      </c>
      <c r="C36" s="96" t="e">
        <f>#REF!/Mil</f>
        <v>#REF!</v>
      </c>
      <c r="D36" s="96" t="e">
        <f>#REF!/Mil</f>
        <v>#REF!</v>
      </c>
      <c r="E36" s="96" t="e">
        <f>#REF!/Mil</f>
        <v>#REF!</v>
      </c>
      <c r="F36" s="96" t="e">
        <f>#REF!/Mil</f>
        <v>#REF!</v>
      </c>
      <c r="G36" s="96" t="e">
        <f>#REF!/Mil</f>
        <v>#REF!</v>
      </c>
      <c r="H36" s="96" t="e">
        <f>#REF!/Mil</f>
        <v>#REF!</v>
      </c>
      <c r="I36" s="96" t="e">
        <f>#REF!/Mil</f>
        <v>#REF!</v>
      </c>
      <c r="J36" s="96" t="e">
        <f>#REF!/Mil</f>
        <v>#REF!</v>
      </c>
      <c r="K36" s="96" t="e">
        <f>#REF!/Mil</f>
        <v>#REF!</v>
      </c>
      <c r="L36" s="96" t="e">
        <f>#REF!/Mil</f>
        <v>#REF!</v>
      </c>
      <c r="M36" s="96" t="e">
        <f>#REF!/Mil</f>
        <v>#REF!</v>
      </c>
      <c r="N36" s="96" t="e">
        <f>#REF!/Mil</f>
        <v>#REF!</v>
      </c>
      <c r="O36" s="96" t="e">
        <f>#REF!/Mil</f>
        <v>#REF!</v>
      </c>
      <c r="P36" s="96" t="e">
        <f>#REF!/Mil</f>
        <v>#REF!</v>
      </c>
      <c r="Q36" s="96" t="e">
        <f>#REF!/Mil</f>
        <v>#REF!</v>
      </c>
      <c r="R36" s="96" t="e">
        <f>#REF!/Mil</f>
        <v>#REF!</v>
      </c>
      <c r="S36" s="1077" t="e">
        <f>SUM(C36:R36)</f>
        <v>#REF!</v>
      </c>
      <c r="T36" s="1078" t="e">
        <f t="shared" si="6"/>
        <v>#REF!</v>
      </c>
    </row>
    <row r="37" spans="1:20">
      <c r="A37" s="41"/>
      <c r="B37" s="51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1079"/>
      <c r="S37" s="1079"/>
      <c r="T37" s="98"/>
    </row>
    <row r="38" spans="1:20" ht="26.25" customHeight="1">
      <c r="A38" s="41"/>
      <c r="B38" s="1080" t="s">
        <v>490</v>
      </c>
      <c r="C38" s="1081" t="e">
        <f>SUM(C32:C36)</f>
        <v>#REF!</v>
      </c>
      <c r="D38" s="1081" t="e">
        <f t="shared" ref="D38:S38" si="7">SUM(D32:D36)</f>
        <v>#REF!</v>
      </c>
      <c r="E38" s="1081" t="e">
        <f t="shared" si="7"/>
        <v>#REF!</v>
      </c>
      <c r="F38" s="1081" t="e">
        <f t="shared" si="7"/>
        <v>#REF!</v>
      </c>
      <c r="G38" s="1081" t="e">
        <f t="shared" si="7"/>
        <v>#REF!</v>
      </c>
      <c r="H38" s="1081" t="e">
        <f t="shared" si="7"/>
        <v>#REF!</v>
      </c>
      <c r="I38" s="1081" t="e">
        <f t="shared" si="7"/>
        <v>#REF!</v>
      </c>
      <c r="J38" s="1081" t="e">
        <f t="shared" si="7"/>
        <v>#REF!</v>
      </c>
      <c r="K38" s="1081" t="e">
        <f t="shared" si="7"/>
        <v>#REF!</v>
      </c>
      <c r="L38" s="1081" t="e">
        <f t="shared" si="7"/>
        <v>#REF!</v>
      </c>
      <c r="M38" s="1081" t="e">
        <f t="shared" si="7"/>
        <v>#REF!</v>
      </c>
      <c r="N38" s="1081" t="e">
        <f t="shared" si="7"/>
        <v>#REF!</v>
      </c>
      <c r="O38" s="1081" t="e">
        <f t="shared" si="7"/>
        <v>#REF!</v>
      </c>
      <c r="P38" s="1081" t="e">
        <f t="shared" si="7"/>
        <v>#REF!</v>
      </c>
      <c r="Q38" s="1081" t="e">
        <f t="shared" si="7"/>
        <v>#REF!</v>
      </c>
      <c r="R38" s="1081" t="e">
        <f t="shared" si="7"/>
        <v>#REF!</v>
      </c>
      <c r="S38" s="1081" t="e">
        <f t="shared" si="7"/>
        <v>#REF!</v>
      </c>
      <c r="T38" s="1078" t="e">
        <f t="shared" si="6"/>
        <v>#REF!</v>
      </c>
    </row>
    <row r="39" spans="1:20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>
      <c r="A41" s="1067" t="s">
        <v>493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>
      <c r="A42" s="951" t="s">
        <v>487</v>
      </c>
      <c r="B42" s="1074" t="s">
        <v>488</v>
      </c>
      <c r="C42" s="1075" t="str">
        <f>C6</f>
        <v>Monto en miles de Soles (S/ x 1000)</v>
      </c>
      <c r="D42" s="1075"/>
      <c r="E42" s="1075"/>
      <c r="F42" s="1075"/>
      <c r="G42" s="1075"/>
      <c r="H42" s="1075"/>
      <c r="I42" s="1075"/>
      <c r="J42" s="1075"/>
      <c r="K42" s="1075"/>
      <c r="L42" s="1075"/>
      <c r="M42" s="1075"/>
      <c r="N42" s="1075"/>
      <c r="O42" s="1075"/>
      <c r="P42" s="1075"/>
      <c r="Q42" s="1075"/>
      <c r="R42" s="1075"/>
      <c r="S42" s="1074" t="s">
        <v>18</v>
      </c>
      <c r="T42" s="1074" t="s">
        <v>107</v>
      </c>
    </row>
    <row r="43" spans="1:20">
      <c r="A43" s="951"/>
      <c r="B43" s="1074"/>
      <c r="C43" s="1076" t="e">
        <f>C7</f>
        <v>#REF!</v>
      </c>
      <c r="D43" s="1076" t="e">
        <f t="shared" ref="D43:R43" si="8">D7</f>
        <v>#REF!</v>
      </c>
      <c r="E43" s="1076" t="e">
        <f t="shared" si="8"/>
        <v>#REF!</v>
      </c>
      <c r="F43" s="1076" t="e">
        <f t="shared" si="8"/>
        <v>#REF!</v>
      </c>
      <c r="G43" s="1076" t="e">
        <f t="shared" si="8"/>
        <v>#REF!</v>
      </c>
      <c r="H43" s="1076" t="e">
        <f t="shared" si="8"/>
        <v>#REF!</v>
      </c>
      <c r="I43" s="1076" t="e">
        <f t="shared" si="8"/>
        <v>#REF!</v>
      </c>
      <c r="J43" s="1076" t="e">
        <f t="shared" si="8"/>
        <v>#REF!</v>
      </c>
      <c r="K43" s="1076" t="e">
        <f t="shared" si="8"/>
        <v>#REF!</v>
      </c>
      <c r="L43" s="1076" t="e">
        <f t="shared" si="8"/>
        <v>#REF!</v>
      </c>
      <c r="M43" s="1076" t="e">
        <f t="shared" si="8"/>
        <v>#REF!</v>
      </c>
      <c r="N43" s="1076" t="e">
        <f t="shared" si="8"/>
        <v>#REF!</v>
      </c>
      <c r="O43" s="1076" t="e">
        <f t="shared" si="8"/>
        <v>#REF!</v>
      </c>
      <c r="P43" s="1076" t="e">
        <f t="shared" si="8"/>
        <v>#REF!</v>
      </c>
      <c r="Q43" s="1076" t="e">
        <f t="shared" si="8"/>
        <v>#REF!</v>
      </c>
      <c r="R43" s="1076" t="e">
        <f t="shared" si="8"/>
        <v>#REF!</v>
      </c>
      <c r="S43" s="1074"/>
      <c r="T43" s="1074"/>
    </row>
    <row r="44" spans="1:20" ht="26.25" customHeight="1">
      <c r="A44" s="74" t="e">
        <f>A20</f>
        <v>#REF!</v>
      </c>
      <c r="B44" s="95" t="e">
        <f>B20</f>
        <v>#REF!</v>
      </c>
      <c r="C44" s="99" t="e">
        <f>C20*Mil</f>
        <v>#REF!</v>
      </c>
      <c r="D44" s="99" t="e">
        <f t="shared" ref="D44:R44" si="9">D20*Mil</f>
        <v>#REF!</v>
      </c>
      <c r="E44" s="99" t="e">
        <f t="shared" si="9"/>
        <v>#REF!</v>
      </c>
      <c r="F44" s="99" t="e">
        <f t="shared" si="9"/>
        <v>#REF!</v>
      </c>
      <c r="G44" s="99" t="e">
        <f t="shared" si="9"/>
        <v>#REF!</v>
      </c>
      <c r="H44" s="99" t="e">
        <f t="shared" si="9"/>
        <v>#REF!</v>
      </c>
      <c r="I44" s="99" t="e">
        <f t="shared" si="9"/>
        <v>#REF!</v>
      </c>
      <c r="J44" s="99" t="e">
        <f t="shared" si="9"/>
        <v>#REF!</v>
      </c>
      <c r="K44" s="99" t="e">
        <f t="shared" si="9"/>
        <v>#REF!</v>
      </c>
      <c r="L44" s="99" t="e">
        <f t="shared" si="9"/>
        <v>#REF!</v>
      </c>
      <c r="M44" s="99" t="e">
        <f t="shared" si="9"/>
        <v>#REF!</v>
      </c>
      <c r="N44" s="99" t="e">
        <f t="shared" si="9"/>
        <v>#REF!</v>
      </c>
      <c r="O44" s="99" t="e">
        <f t="shared" si="9"/>
        <v>#REF!</v>
      </c>
      <c r="P44" s="99" t="e">
        <f t="shared" si="9"/>
        <v>#REF!</v>
      </c>
      <c r="Q44" s="99" t="e">
        <f t="shared" si="9"/>
        <v>#REF!</v>
      </c>
      <c r="R44" s="99" t="e">
        <f t="shared" si="9"/>
        <v>#REF!</v>
      </c>
      <c r="S44" s="100" t="e">
        <f>S20*Mil</f>
        <v>#REF!</v>
      </c>
      <c r="T44" s="1083" t="e">
        <f>T20</f>
        <v>#REF!</v>
      </c>
    </row>
    <row r="45" spans="1:20" ht="26.25" customHeight="1">
      <c r="A45" s="74" t="e">
        <f t="shared" ref="A45:B48" si="10">A21</f>
        <v>#REF!</v>
      </c>
      <c r="B45" s="95" t="e">
        <f t="shared" si="10"/>
        <v>#REF!</v>
      </c>
      <c r="C45" s="99" t="e">
        <f t="shared" ref="C45:R50" si="11">C21*Mil</f>
        <v>#REF!</v>
      </c>
      <c r="D45" s="99" t="e">
        <f t="shared" si="11"/>
        <v>#REF!</v>
      </c>
      <c r="E45" s="99" t="e">
        <f t="shared" si="11"/>
        <v>#REF!</v>
      </c>
      <c r="F45" s="99" t="e">
        <f t="shared" si="11"/>
        <v>#REF!</v>
      </c>
      <c r="G45" s="99" t="e">
        <f t="shared" si="11"/>
        <v>#REF!</v>
      </c>
      <c r="H45" s="99" t="e">
        <f t="shared" si="11"/>
        <v>#REF!</v>
      </c>
      <c r="I45" s="99" t="e">
        <f t="shared" si="11"/>
        <v>#REF!</v>
      </c>
      <c r="J45" s="99" t="e">
        <f t="shared" si="11"/>
        <v>#REF!</v>
      </c>
      <c r="K45" s="99" t="e">
        <f t="shared" si="11"/>
        <v>#REF!</v>
      </c>
      <c r="L45" s="99" t="e">
        <f t="shared" si="11"/>
        <v>#REF!</v>
      </c>
      <c r="M45" s="99" t="e">
        <f t="shared" si="11"/>
        <v>#REF!</v>
      </c>
      <c r="N45" s="99" t="e">
        <f t="shared" si="11"/>
        <v>#REF!</v>
      </c>
      <c r="O45" s="99" t="e">
        <f t="shared" si="11"/>
        <v>#REF!</v>
      </c>
      <c r="P45" s="99" t="e">
        <f t="shared" si="11"/>
        <v>#REF!</v>
      </c>
      <c r="Q45" s="99" t="e">
        <f t="shared" si="11"/>
        <v>#REF!</v>
      </c>
      <c r="R45" s="99" t="e">
        <f t="shared" si="11"/>
        <v>#REF!</v>
      </c>
      <c r="S45" s="100" t="e">
        <f>S21*Mil</f>
        <v>#REF!</v>
      </c>
      <c r="T45" s="1083" t="e">
        <f t="shared" ref="T45:T50" si="12">T21</f>
        <v>#REF!</v>
      </c>
    </row>
    <row r="46" spans="1:20" ht="26.25" customHeight="1">
      <c r="A46" s="74" t="e">
        <f t="shared" si="10"/>
        <v>#REF!</v>
      </c>
      <c r="B46" s="95" t="e">
        <f t="shared" si="10"/>
        <v>#REF!</v>
      </c>
      <c r="C46" s="99" t="e">
        <f t="shared" si="11"/>
        <v>#REF!</v>
      </c>
      <c r="D46" s="99" t="e">
        <f t="shared" si="11"/>
        <v>#REF!</v>
      </c>
      <c r="E46" s="99" t="e">
        <f t="shared" si="11"/>
        <v>#REF!</v>
      </c>
      <c r="F46" s="99" t="e">
        <f t="shared" si="11"/>
        <v>#REF!</v>
      </c>
      <c r="G46" s="99" t="e">
        <f t="shared" si="11"/>
        <v>#REF!</v>
      </c>
      <c r="H46" s="99" t="e">
        <f t="shared" si="11"/>
        <v>#REF!</v>
      </c>
      <c r="I46" s="99" t="e">
        <f t="shared" si="11"/>
        <v>#REF!</v>
      </c>
      <c r="J46" s="99" t="e">
        <f t="shared" si="11"/>
        <v>#REF!</v>
      </c>
      <c r="K46" s="99" t="e">
        <f t="shared" si="11"/>
        <v>#REF!</v>
      </c>
      <c r="L46" s="99" t="e">
        <f t="shared" si="11"/>
        <v>#REF!</v>
      </c>
      <c r="M46" s="99" t="e">
        <f t="shared" si="11"/>
        <v>#REF!</v>
      </c>
      <c r="N46" s="99" t="e">
        <f t="shared" si="11"/>
        <v>#REF!</v>
      </c>
      <c r="O46" s="99" t="e">
        <f t="shared" si="11"/>
        <v>#REF!</v>
      </c>
      <c r="P46" s="99" t="e">
        <f t="shared" si="11"/>
        <v>#REF!</v>
      </c>
      <c r="Q46" s="99" t="e">
        <f t="shared" si="11"/>
        <v>#REF!</v>
      </c>
      <c r="R46" s="99" t="e">
        <f t="shared" si="11"/>
        <v>#REF!</v>
      </c>
      <c r="S46" s="100" t="e">
        <f>S22*Mil</f>
        <v>#REF!</v>
      </c>
      <c r="T46" s="1083" t="e">
        <f t="shared" si="12"/>
        <v>#REF!</v>
      </c>
    </row>
    <row r="47" spans="1:20" ht="26.25" customHeight="1">
      <c r="A47" s="74">
        <f t="shared" si="10"/>
        <v>4</v>
      </c>
      <c r="B47" s="95" t="e">
        <f t="shared" si="10"/>
        <v>#REF!</v>
      </c>
      <c r="C47" s="99" t="e">
        <f t="shared" si="11"/>
        <v>#REF!</v>
      </c>
      <c r="D47" s="99" t="e">
        <f t="shared" si="11"/>
        <v>#REF!</v>
      </c>
      <c r="E47" s="99" t="e">
        <f t="shared" si="11"/>
        <v>#REF!</v>
      </c>
      <c r="F47" s="99" t="e">
        <f t="shared" si="11"/>
        <v>#REF!</v>
      </c>
      <c r="G47" s="99" t="e">
        <f t="shared" si="11"/>
        <v>#REF!</v>
      </c>
      <c r="H47" s="99" t="e">
        <f t="shared" si="11"/>
        <v>#REF!</v>
      </c>
      <c r="I47" s="99" t="e">
        <f t="shared" si="11"/>
        <v>#REF!</v>
      </c>
      <c r="J47" s="99" t="e">
        <f t="shared" si="11"/>
        <v>#REF!</v>
      </c>
      <c r="K47" s="99" t="e">
        <f t="shared" si="11"/>
        <v>#REF!</v>
      </c>
      <c r="L47" s="99" t="e">
        <f t="shared" si="11"/>
        <v>#REF!</v>
      </c>
      <c r="M47" s="99" t="e">
        <f t="shared" si="11"/>
        <v>#REF!</v>
      </c>
      <c r="N47" s="99" t="e">
        <f t="shared" si="11"/>
        <v>#REF!</v>
      </c>
      <c r="O47" s="99" t="e">
        <f t="shared" si="11"/>
        <v>#REF!</v>
      </c>
      <c r="P47" s="99" t="e">
        <f t="shared" si="11"/>
        <v>#REF!</v>
      </c>
      <c r="Q47" s="99" t="e">
        <f t="shared" si="11"/>
        <v>#REF!</v>
      </c>
      <c r="R47" s="99" t="e">
        <f t="shared" si="11"/>
        <v>#REF!</v>
      </c>
      <c r="S47" s="100" t="e">
        <f>S23*Mil</f>
        <v>#REF!</v>
      </c>
      <c r="T47" s="1083" t="e">
        <f t="shared" si="12"/>
        <v>#REF!</v>
      </c>
    </row>
    <row r="48" spans="1:20" ht="26.25" customHeight="1">
      <c r="A48" s="74">
        <f t="shared" si="10"/>
        <v>5</v>
      </c>
      <c r="B48" s="95" t="e">
        <f t="shared" si="10"/>
        <v>#REF!</v>
      </c>
      <c r="C48" s="99" t="e">
        <f t="shared" si="11"/>
        <v>#REF!</v>
      </c>
      <c r="D48" s="99" t="e">
        <f t="shared" si="11"/>
        <v>#REF!</v>
      </c>
      <c r="E48" s="99" t="e">
        <f t="shared" si="11"/>
        <v>#REF!</v>
      </c>
      <c r="F48" s="99" t="e">
        <f t="shared" si="11"/>
        <v>#REF!</v>
      </c>
      <c r="G48" s="99" t="e">
        <f t="shared" si="11"/>
        <v>#REF!</v>
      </c>
      <c r="H48" s="99" t="e">
        <f t="shared" si="11"/>
        <v>#REF!</v>
      </c>
      <c r="I48" s="99" t="e">
        <f t="shared" si="11"/>
        <v>#REF!</v>
      </c>
      <c r="J48" s="99" t="e">
        <f t="shared" si="11"/>
        <v>#REF!</v>
      </c>
      <c r="K48" s="99" t="e">
        <f t="shared" si="11"/>
        <v>#REF!</v>
      </c>
      <c r="L48" s="99" t="e">
        <f t="shared" si="11"/>
        <v>#REF!</v>
      </c>
      <c r="M48" s="99" t="e">
        <f t="shared" si="11"/>
        <v>#REF!</v>
      </c>
      <c r="N48" s="99" t="e">
        <f t="shared" si="11"/>
        <v>#REF!</v>
      </c>
      <c r="O48" s="99" t="e">
        <f t="shared" si="11"/>
        <v>#REF!</v>
      </c>
      <c r="P48" s="99" t="e">
        <f t="shared" si="11"/>
        <v>#REF!</v>
      </c>
      <c r="Q48" s="99" t="e">
        <f t="shared" si="11"/>
        <v>#REF!</v>
      </c>
      <c r="R48" s="99" t="e">
        <f t="shared" si="11"/>
        <v>#REF!</v>
      </c>
      <c r="S48" s="100" t="e">
        <f>S24*Mil</f>
        <v>#REF!</v>
      </c>
      <c r="T48" s="1083" t="e">
        <f t="shared" si="12"/>
        <v>#REF!</v>
      </c>
    </row>
    <row r="49" spans="1:20">
      <c r="A49" s="41"/>
      <c r="B49" s="51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3"/>
      <c r="S49" s="103"/>
      <c r="T49" s="104"/>
    </row>
    <row r="50" spans="1:20" ht="26.25" customHeight="1">
      <c r="A50" s="41"/>
      <c r="B50" s="1080" t="s">
        <v>490</v>
      </c>
      <c r="C50" s="99" t="e">
        <f t="shared" si="11"/>
        <v>#REF!</v>
      </c>
      <c r="D50" s="99" t="e">
        <f t="shared" si="11"/>
        <v>#REF!</v>
      </c>
      <c r="E50" s="99" t="e">
        <f t="shared" si="11"/>
        <v>#REF!</v>
      </c>
      <c r="F50" s="99" t="e">
        <f t="shared" si="11"/>
        <v>#REF!</v>
      </c>
      <c r="G50" s="99" t="e">
        <f t="shared" si="11"/>
        <v>#REF!</v>
      </c>
      <c r="H50" s="99" t="e">
        <f t="shared" si="11"/>
        <v>#REF!</v>
      </c>
      <c r="I50" s="99" t="e">
        <f t="shared" si="11"/>
        <v>#REF!</v>
      </c>
      <c r="J50" s="99" t="e">
        <f t="shared" si="11"/>
        <v>#REF!</v>
      </c>
      <c r="K50" s="99" t="e">
        <f t="shared" si="11"/>
        <v>#REF!</v>
      </c>
      <c r="L50" s="99" t="e">
        <f t="shared" si="11"/>
        <v>#REF!</v>
      </c>
      <c r="M50" s="99" t="e">
        <f t="shared" si="11"/>
        <v>#REF!</v>
      </c>
      <c r="N50" s="99" t="e">
        <f t="shared" si="11"/>
        <v>#REF!</v>
      </c>
      <c r="O50" s="99" t="e">
        <f t="shared" si="11"/>
        <v>#REF!</v>
      </c>
      <c r="P50" s="99" t="e">
        <f t="shared" si="11"/>
        <v>#REF!</v>
      </c>
      <c r="Q50" s="99" t="e">
        <f t="shared" si="11"/>
        <v>#REF!</v>
      </c>
      <c r="R50" s="99" t="e">
        <f t="shared" si="11"/>
        <v>#REF!</v>
      </c>
      <c r="S50" s="100" t="e">
        <f>S26*Mil</f>
        <v>#REF!</v>
      </c>
      <c r="T50" s="1083" t="e">
        <f t="shared" si="12"/>
        <v>#REF!</v>
      </c>
    </row>
    <row r="51" spans="1:20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>
      <c r="A53" s="1067" t="s">
        <v>494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>
      <c r="A54" s="951" t="s">
        <v>487</v>
      </c>
      <c r="B54" s="1074" t="s">
        <v>488</v>
      </c>
      <c r="C54" s="1075" t="str">
        <f>C6</f>
        <v>Monto en miles de Soles (S/ x 1000)</v>
      </c>
      <c r="D54" s="1075"/>
      <c r="E54" s="1075"/>
      <c r="F54" s="1075"/>
      <c r="G54" s="1075"/>
      <c r="H54" s="1075"/>
      <c r="I54" s="1075"/>
      <c r="J54" s="1075"/>
      <c r="K54" s="1075"/>
      <c r="L54" s="1075"/>
      <c r="M54" s="1075"/>
      <c r="N54" s="1075"/>
      <c r="O54" s="1075"/>
      <c r="P54" s="1075"/>
      <c r="Q54" s="1075"/>
      <c r="R54" s="1075"/>
      <c r="S54" s="1074" t="s">
        <v>18</v>
      </c>
      <c r="T54" s="1074" t="s">
        <v>107</v>
      </c>
    </row>
    <row r="55" spans="1:20">
      <c r="A55" s="951"/>
      <c r="B55" s="1074"/>
      <c r="C55" s="1076" t="e">
        <f>C7</f>
        <v>#REF!</v>
      </c>
      <c r="D55" s="1076" t="e">
        <f t="shared" ref="D55:R55" si="13">D7</f>
        <v>#REF!</v>
      </c>
      <c r="E55" s="1076" t="e">
        <f t="shared" si="13"/>
        <v>#REF!</v>
      </c>
      <c r="F55" s="1076" t="e">
        <f t="shared" si="13"/>
        <v>#REF!</v>
      </c>
      <c r="G55" s="1076" t="e">
        <f t="shared" si="13"/>
        <v>#REF!</v>
      </c>
      <c r="H55" s="1076" t="e">
        <f t="shared" si="13"/>
        <v>#REF!</v>
      </c>
      <c r="I55" s="1076" t="e">
        <f t="shared" si="13"/>
        <v>#REF!</v>
      </c>
      <c r="J55" s="1076" t="e">
        <f t="shared" si="13"/>
        <v>#REF!</v>
      </c>
      <c r="K55" s="1076" t="e">
        <f t="shared" si="13"/>
        <v>#REF!</v>
      </c>
      <c r="L55" s="1076" t="e">
        <f t="shared" si="13"/>
        <v>#REF!</v>
      </c>
      <c r="M55" s="1076" t="e">
        <f t="shared" si="13"/>
        <v>#REF!</v>
      </c>
      <c r="N55" s="1076" t="e">
        <f t="shared" si="13"/>
        <v>#REF!</v>
      </c>
      <c r="O55" s="1076" t="e">
        <f t="shared" si="13"/>
        <v>#REF!</v>
      </c>
      <c r="P55" s="1076" t="e">
        <f t="shared" si="13"/>
        <v>#REF!</v>
      </c>
      <c r="Q55" s="1076" t="e">
        <f t="shared" si="13"/>
        <v>#REF!</v>
      </c>
      <c r="R55" s="1076" t="e">
        <f t="shared" si="13"/>
        <v>#REF!</v>
      </c>
      <c r="S55" s="1074"/>
      <c r="T55" s="1074"/>
    </row>
    <row r="56" spans="1:20" ht="26.25" customHeight="1">
      <c r="A56" s="74" t="e">
        <f>A32</f>
        <v>#REF!</v>
      </c>
      <c r="B56" s="95" t="e">
        <f>B44</f>
        <v>#REF!</v>
      </c>
      <c r="C56" s="99" t="e">
        <f>C32*Mil</f>
        <v>#REF!</v>
      </c>
      <c r="D56" s="99" t="e">
        <f t="shared" ref="D56:R56" si="14">D32*Mil</f>
        <v>#REF!</v>
      </c>
      <c r="E56" s="99" t="e">
        <f t="shared" si="14"/>
        <v>#REF!</v>
      </c>
      <c r="F56" s="99" t="e">
        <f t="shared" si="14"/>
        <v>#REF!</v>
      </c>
      <c r="G56" s="99" t="e">
        <f t="shared" si="14"/>
        <v>#REF!</v>
      </c>
      <c r="H56" s="99" t="e">
        <f t="shared" si="14"/>
        <v>#REF!</v>
      </c>
      <c r="I56" s="99" t="e">
        <f t="shared" si="14"/>
        <v>#REF!</v>
      </c>
      <c r="J56" s="99" t="e">
        <f t="shared" si="14"/>
        <v>#REF!</v>
      </c>
      <c r="K56" s="99" t="e">
        <f t="shared" si="14"/>
        <v>#REF!</v>
      </c>
      <c r="L56" s="99" t="e">
        <f t="shared" si="14"/>
        <v>#REF!</v>
      </c>
      <c r="M56" s="99" t="e">
        <f t="shared" si="14"/>
        <v>#REF!</v>
      </c>
      <c r="N56" s="99" t="e">
        <f t="shared" si="14"/>
        <v>#REF!</v>
      </c>
      <c r="O56" s="99" t="e">
        <f t="shared" si="14"/>
        <v>#REF!</v>
      </c>
      <c r="P56" s="99" t="e">
        <f t="shared" si="14"/>
        <v>#REF!</v>
      </c>
      <c r="Q56" s="99" t="e">
        <f t="shared" si="14"/>
        <v>#REF!</v>
      </c>
      <c r="R56" s="99" t="e">
        <f t="shared" si="14"/>
        <v>#REF!</v>
      </c>
      <c r="S56" s="100" t="e">
        <f>S32*Mil</f>
        <v>#REF!</v>
      </c>
      <c r="T56" s="1083" t="e">
        <f>T32</f>
        <v>#REF!</v>
      </c>
    </row>
    <row r="57" spans="1:20" ht="26.25" customHeight="1">
      <c r="A57" s="74" t="e">
        <f>A33</f>
        <v>#REF!</v>
      </c>
      <c r="B57" s="95" t="e">
        <f>B45</f>
        <v>#REF!</v>
      </c>
      <c r="C57" s="99" t="e">
        <f t="shared" ref="C57:R60" si="15">C33*Mil</f>
        <v>#REF!</v>
      </c>
      <c r="D57" s="99" t="e">
        <f t="shared" si="15"/>
        <v>#REF!</v>
      </c>
      <c r="E57" s="99" t="e">
        <f t="shared" si="15"/>
        <v>#REF!</v>
      </c>
      <c r="F57" s="99" t="e">
        <f t="shared" si="15"/>
        <v>#REF!</v>
      </c>
      <c r="G57" s="99" t="e">
        <f t="shared" si="15"/>
        <v>#REF!</v>
      </c>
      <c r="H57" s="99" t="e">
        <f t="shared" si="15"/>
        <v>#REF!</v>
      </c>
      <c r="I57" s="99" t="e">
        <f t="shared" si="15"/>
        <v>#REF!</v>
      </c>
      <c r="J57" s="99" t="e">
        <f t="shared" si="15"/>
        <v>#REF!</v>
      </c>
      <c r="K57" s="99" t="e">
        <f t="shared" si="15"/>
        <v>#REF!</v>
      </c>
      <c r="L57" s="99" t="e">
        <f t="shared" si="15"/>
        <v>#REF!</v>
      </c>
      <c r="M57" s="99" t="e">
        <f t="shared" si="15"/>
        <v>#REF!</v>
      </c>
      <c r="N57" s="99" t="e">
        <f t="shared" si="15"/>
        <v>#REF!</v>
      </c>
      <c r="O57" s="99" t="e">
        <f t="shared" si="15"/>
        <v>#REF!</v>
      </c>
      <c r="P57" s="99" t="e">
        <f t="shared" si="15"/>
        <v>#REF!</v>
      </c>
      <c r="Q57" s="99" t="e">
        <f t="shared" si="15"/>
        <v>#REF!</v>
      </c>
      <c r="R57" s="99" t="e">
        <f t="shared" si="15"/>
        <v>#REF!</v>
      </c>
      <c r="S57" s="100" t="e">
        <f>S33*Mil</f>
        <v>#REF!</v>
      </c>
      <c r="T57" s="1083" t="e">
        <f>T33</f>
        <v>#REF!</v>
      </c>
    </row>
    <row r="58" spans="1:20" ht="26.25" customHeight="1">
      <c r="A58" s="74" t="e">
        <f>A34</f>
        <v>#REF!</v>
      </c>
      <c r="B58" s="95" t="e">
        <f>B46</f>
        <v>#REF!</v>
      </c>
      <c r="C58" s="99" t="e">
        <f t="shared" si="15"/>
        <v>#REF!</v>
      </c>
      <c r="D58" s="99" t="e">
        <f t="shared" si="15"/>
        <v>#REF!</v>
      </c>
      <c r="E58" s="99" t="e">
        <f t="shared" si="15"/>
        <v>#REF!</v>
      </c>
      <c r="F58" s="99" t="e">
        <f t="shared" si="15"/>
        <v>#REF!</v>
      </c>
      <c r="G58" s="99" t="e">
        <f t="shared" si="15"/>
        <v>#REF!</v>
      </c>
      <c r="H58" s="99" t="e">
        <f t="shared" si="15"/>
        <v>#REF!</v>
      </c>
      <c r="I58" s="99" t="e">
        <f t="shared" si="15"/>
        <v>#REF!</v>
      </c>
      <c r="J58" s="99" t="e">
        <f t="shared" si="15"/>
        <v>#REF!</v>
      </c>
      <c r="K58" s="99" t="e">
        <f t="shared" si="15"/>
        <v>#REF!</v>
      </c>
      <c r="L58" s="99" t="e">
        <f t="shared" si="15"/>
        <v>#REF!</v>
      </c>
      <c r="M58" s="99" t="e">
        <f t="shared" si="15"/>
        <v>#REF!</v>
      </c>
      <c r="N58" s="99" t="e">
        <f t="shared" si="15"/>
        <v>#REF!</v>
      </c>
      <c r="O58" s="99" t="e">
        <f t="shared" si="15"/>
        <v>#REF!</v>
      </c>
      <c r="P58" s="99" t="e">
        <f t="shared" si="15"/>
        <v>#REF!</v>
      </c>
      <c r="Q58" s="99" t="e">
        <f t="shared" si="15"/>
        <v>#REF!</v>
      </c>
      <c r="R58" s="99" t="e">
        <f t="shared" si="15"/>
        <v>#REF!</v>
      </c>
      <c r="S58" s="100" t="e">
        <f>S34*Mil</f>
        <v>#REF!</v>
      </c>
      <c r="T58" s="1083" t="e">
        <f>T34</f>
        <v>#REF!</v>
      </c>
    </row>
    <row r="59" spans="1:20" ht="26.25" customHeight="1">
      <c r="A59" s="74">
        <f>A35</f>
        <v>4</v>
      </c>
      <c r="B59" s="95" t="e">
        <f>B47</f>
        <v>#REF!</v>
      </c>
      <c r="C59" s="99" t="e">
        <f t="shared" si="15"/>
        <v>#REF!</v>
      </c>
      <c r="D59" s="99" t="e">
        <f t="shared" si="15"/>
        <v>#REF!</v>
      </c>
      <c r="E59" s="99" t="e">
        <f t="shared" si="15"/>
        <v>#REF!</v>
      </c>
      <c r="F59" s="99" t="e">
        <f t="shared" si="15"/>
        <v>#REF!</v>
      </c>
      <c r="G59" s="99" t="e">
        <f t="shared" si="15"/>
        <v>#REF!</v>
      </c>
      <c r="H59" s="99" t="e">
        <f t="shared" si="15"/>
        <v>#REF!</v>
      </c>
      <c r="I59" s="99" t="e">
        <f t="shared" si="15"/>
        <v>#REF!</v>
      </c>
      <c r="J59" s="99" t="e">
        <f t="shared" si="15"/>
        <v>#REF!</v>
      </c>
      <c r="K59" s="99" t="e">
        <f t="shared" si="15"/>
        <v>#REF!</v>
      </c>
      <c r="L59" s="99" t="e">
        <f t="shared" si="15"/>
        <v>#REF!</v>
      </c>
      <c r="M59" s="99" t="e">
        <f t="shared" si="15"/>
        <v>#REF!</v>
      </c>
      <c r="N59" s="99" t="e">
        <f t="shared" si="15"/>
        <v>#REF!</v>
      </c>
      <c r="O59" s="99" t="e">
        <f t="shared" si="15"/>
        <v>#REF!</v>
      </c>
      <c r="P59" s="99" t="e">
        <f t="shared" si="15"/>
        <v>#REF!</v>
      </c>
      <c r="Q59" s="99" t="e">
        <f t="shared" si="15"/>
        <v>#REF!</v>
      </c>
      <c r="R59" s="99" t="e">
        <f t="shared" si="15"/>
        <v>#REF!</v>
      </c>
      <c r="S59" s="100" t="e">
        <f>S35*Mil</f>
        <v>#REF!</v>
      </c>
      <c r="T59" s="1083" t="e">
        <f>T35</f>
        <v>#REF!</v>
      </c>
    </row>
    <row r="60" spans="1:20" ht="26.25" customHeight="1">
      <c r="A60" s="74">
        <f>A36</f>
        <v>5</v>
      </c>
      <c r="B60" s="95" t="e">
        <f>B48</f>
        <v>#REF!</v>
      </c>
      <c r="C60" s="99" t="e">
        <f t="shared" si="15"/>
        <v>#REF!</v>
      </c>
      <c r="D60" s="99" t="e">
        <f t="shared" si="15"/>
        <v>#REF!</v>
      </c>
      <c r="E60" s="99" t="e">
        <f t="shared" si="15"/>
        <v>#REF!</v>
      </c>
      <c r="F60" s="99" t="e">
        <f t="shared" si="15"/>
        <v>#REF!</v>
      </c>
      <c r="G60" s="99" t="e">
        <f t="shared" si="15"/>
        <v>#REF!</v>
      </c>
      <c r="H60" s="99" t="e">
        <f t="shared" si="15"/>
        <v>#REF!</v>
      </c>
      <c r="I60" s="99" t="e">
        <f t="shared" si="15"/>
        <v>#REF!</v>
      </c>
      <c r="J60" s="99" t="e">
        <f t="shared" si="15"/>
        <v>#REF!</v>
      </c>
      <c r="K60" s="99" t="e">
        <f t="shared" si="15"/>
        <v>#REF!</v>
      </c>
      <c r="L60" s="99" t="e">
        <f t="shared" si="15"/>
        <v>#REF!</v>
      </c>
      <c r="M60" s="99" t="e">
        <f t="shared" si="15"/>
        <v>#REF!</v>
      </c>
      <c r="N60" s="99" t="e">
        <f t="shared" si="15"/>
        <v>#REF!</v>
      </c>
      <c r="O60" s="99" t="e">
        <f t="shared" si="15"/>
        <v>#REF!</v>
      </c>
      <c r="P60" s="99" t="e">
        <f t="shared" si="15"/>
        <v>#REF!</v>
      </c>
      <c r="Q60" s="99" t="e">
        <f t="shared" si="15"/>
        <v>#REF!</v>
      </c>
      <c r="R60" s="99" t="e">
        <f t="shared" si="15"/>
        <v>#REF!</v>
      </c>
      <c r="S60" s="100" t="e">
        <f>S36*Mil</f>
        <v>#REF!</v>
      </c>
      <c r="T60" s="1083" t="e">
        <f>T36</f>
        <v>#REF!</v>
      </c>
    </row>
    <row r="61" spans="1:20">
      <c r="A61" s="41"/>
      <c r="B61" s="51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7"/>
      <c r="S61" s="107"/>
      <c r="T61" s="104"/>
    </row>
    <row r="62" spans="1:20" ht="26.25" customHeight="1">
      <c r="A62" s="41"/>
      <c r="B62" s="1080" t="s">
        <v>490</v>
      </c>
      <c r="C62" s="108" t="e">
        <f t="shared" ref="C62:Q62" si="16">C38*Mil</f>
        <v>#REF!</v>
      </c>
      <c r="D62" s="108" t="e">
        <f t="shared" si="16"/>
        <v>#REF!</v>
      </c>
      <c r="E62" s="108" t="e">
        <f t="shared" si="16"/>
        <v>#REF!</v>
      </c>
      <c r="F62" s="108" t="e">
        <f t="shared" si="16"/>
        <v>#REF!</v>
      </c>
      <c r="G62" s="108" t="e">
        <f t="shared" si="16"/>
        <v>#REF!</v>
      </c>
      <c r="H62" s="108" t="e">
        <f t="shared" si="16"/>
        <v>#REF!</v>
      </c>
      <c r="I62" s="108" t="e">
        <f t="shared" si="16"/>
        <v>#REF!</v>
      </c>
      <c r="J62" s="108" t="e">
        <f t="shared" si="16"/>
        <v>#REF!</v>
      </c>
      <c r="K62" s="108" t="e">
        <f t="shared" si="16"/>
        <v>#REF!</v>
      </c>
      <c r="L62" s="108" t="e">
        <f t="shared" si="16"/>
        <v>#REF!</v>
      </c>
      <c r="M62" s="108" t="e">
        <f t="shared" si="16"/>
        <v>#REF!</v>
      </c>
      <c r="N62" s="108" t="e">
        <f t="shared" si="16"/>
        <v>#REF!</v>
      </c>
      <c r="O62" s="108" t="e">
        <f t="shared" si="16"/>
        <v>#REF!</v>
      </c>
      <c r="P62" s="108" t="e">
        <f t="shared" si="16"/>
        <v>#REF!</v>
      </c>
      <c r="Q62" s="108" t="e">
        <f t="shared" si="16"/>
        <v>#REF!</v>
      </c>
      <c r="R62" s="108" t="e">
        <f>R38*Mil</f>
        <v>#REF!</v>
      </c>
      <c r="S62" s="105" t="e">
        <f>S38*Mil</f>
        <v>#REF!</v>
      </c>
      <c r="T62" s="1084" t="e">
        <f>T38</f>
        <v>#REF!</v>
      </c>
    </row>
  </sheetData>
  <mergeCells count="26">
    <mergeCell ref="A2:J2"/>
    <mergeCell ref="A6:A7"/>
    <mergeCell ref="B6:B7"/>
    <mergeCell ref="C6:R6"/>
    <mergeCell ref="T6:T7"/>
    <mergeCell ref="S6:S7"/>
    <mergeCell ref="T42:T43"/>
    <mergeCell ref="B30:B31"/>
    <mergeCell ref="C30:R30"/>
    <mergeCell ref="A18:A19"/>
    <mergeCell ref="B18:B19"/>
    <mergeCell ref="C18:R18"/>
    <mergeCell ref="T30:T31"/>
    <mergeCell ref="S30:S31"/>
    <mergeCell ref="S18:S19"/>
    <mergeCell ref="A30:A31"/>
    <mergeCell ref="S42:S43"/>
    <mergeCell ref="T18:T19"/>
    <mergeCell ref="A42:A43"/>
    <mergeCell ref="B42:B43"/>
    <mergeCell ref="C42:R42"/>
    <mergeCell ref="A54:A55"/>
    <mergeCell ref="B54:B55"/>
    <mergeCell ref="C54:R54"/>
    <mergeCell ref="T54:T55"/>
    <mergeCell ref="S54:S55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22"/>
  <dimension ref="A1:Y62"/>
  <sheetViews>
    <sheetView workbookViewId="0">
      <selection activeCell="A5" sqref="A5:T38"/>
    </sheetView>
  </sheetViews>
  <sheetFormatPr defaultColWidth="10.7109375" defaultRowHeight="13.15"/>
  <cols>
    <col min="1" max="1" width="4.7109375" customWidth="1"/>
    <col min="2" max="2" width="29.42578125" customWidth="1"/>
    <col min="3" max="18" width="9.28515625" customWidth="1"/>
    <col min="19" max="19" width="11.85546875" customWidth="1"/>
    <col min="20" max="20" width="8.85546875" customWidth="1"/>
    <col min="21" max="21" width="4.42578125" customWidth="1"/>
  </cols>
  <sheetData>
    <row r="1" spans="1:2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7.45">
      <c r="A2" s="952" t="e">
        <f>"RESUMEN DE INVERSIONES "&amp;CHOOSE(Te,"(Precios Privados)","(Precios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>
      <c r="A5" s="1067" t="s">
        <v>486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>
      <c r="A6" s="951" t="s">
        <v>487</v>
      </c>
      <c r="B6" s="1074" t="s">
        <v>488</v>
      </c>
      <c r="C6" s="1075" t="s">
        <v>489</v>
      </c>
      <c r="D6" s="1075"/>
      <c r="E6" s="1075"/>
      <c r="F6" s="1075"/>
      <c r="G6" s="1075"/>
      <c r="H6" s="1075"/>
      <c r="I6" s="1075"/>
      <c r="J6" s="1075"/>
      <c r="K6" s="1075"/>
      <c r="L6" s="1075"/>
      <c r="M6" s="1075"/>
      <c r="N6" s="1075"/>
      <c r="O6" s="1075"/>
      <c r="P6" s="1075"/>
      <c r="Q6" s="1075"/>
      <c r="R6" s="1075"/>
      <c r="S6" s="1074" t="s">
        <v>18</v>
      </c>
      <c r="T6" s="1074" t="s">
        <v>107</v>
      </c>
    </row>
    <row r="7" spans="1:20">
      <c r="A7" s="951"/>
      <c r="B7" s="1074"/>
      <c r="C7" s="1076" t="e">
        <f>#REF!</f>
        <v>#REF!</v>
      </c>
      <c r="D7" s="1076" t="e">
        <f>#REF!</f>
        <v>#REF!</v>
      </c>
      <c r="E7" s="1076" t="e">
        <f>#REF!</f>
        <v>#REF!</v>
      </c>
      <c r="F7" s="1076" t="e">
        <f>#REF!</f>
        <v>#REF!</v>
      </c>
      <c r="G7" s="1076" t="e">
        <f>#REF!</f>
        <v>#REF!</v>
      </c>
      <c r="H7" s="1076" t="e">
        <f>#REF!</f>
        <v>#REF!</v>
      </c>
      <c r="I7" s="1076" t="e">
        <f>#REF!</f>
        <v>#REF!</v>
      </c>
      <c r="J7" s="1076" t="e">
        <f>#REF!</f>
        <v>#REF!</v>
      </c>
      <c r="K7" s="1076" t="e">
        <f>#REF!</f>
        <v>#REF!</v>
      </c>
      <c r="L7" s="1076" t="e">
        <f>#REF!</f>
        <v>#REF!</v>
      </c>
      <c r="M7" s="1076" t="e">
        <f>#REF!</f>
        <v>#REF!</v>
      </c>
      <c r="N7" s="1076" t="e">
        <f>#REF!</f>
        <v>#REF!</v>
      </c>
      <c r="O7" s="1076" t="e">
        <f>#REF!</f>
        <v>#REF!</v>
      </c>
      <c r="P7" s="1076" t="e">
        <f>#REF!</f>
        <v>#REF!</v>
      </c>
      <c r="Q7" s="1076" t="e">
        <f>#REF!</f>
        <v>#REF!</v>
      </c>
      <c r="R7" s="1076" t="e">
        <f>#REF!</f>
        <v>#REF!</v>
      </c>
      <c r="S7" s="1074"/>
      <c r="T7" s="1074"/>
    </row>
    <row r="8" spans="1:20" ht="39.75" customHeight="1">
      <c r="A8" s="74">
        <v>1</v>
      </c>
      <c r="B8" s="95" t="s">
        <v>495</v>
      </c>
      <c r="C8" s="96" t="e">
        <f>(#REF!+#REF!)/Mil</f>
        <v>#REF!</v>
      </c>
      <c r="D8" s="96" t="e">
        <f>(#REF!+#REF!)/Mil</f>
        <v>#REF!</v>
      </c>
      <c r="E8" s="96" t="e">
        <f>(#REF!+#REF!)/Mil</f>
        <v>#REF!</v>
      </c>
      <c r="F8" s="96" t="e">
        <f>(#REF!+#REF!)/Mil</f>
        <v>#REF!</v>
      </c>
      <c r="G8" s="96" t="e">
        <f>(#REF!+#REF!)/Mil</f>
        <v>#REF!</v>
      </c>
      <c r="H8" s="96" t="e">
        <f>(#REF!+#REF!)/Mil</f>
        <v>#REF!</v>
      </c>
      <c r="I8" s="96" t="e">
        <f>(#REF!+#REF!)/Mil</f>
        <v>#REF!</v>
      </c>
      <c r="J8" s="96" t="e">
        <f>(#REF!+#REF!)/Mil</f>
        <v>#REF!</v>
      </c>
      <c r="K8" s="96" t="e">
        <f>(#REF!+#REF!)/Mil</f>
        <v>#REF!</v>
      </c>
      <c r="L8" s="96" t="e">
        <f>(#REF!+#REF!)/Mil</f>
        <v>#REF!</v>
      </c>
      <c r="M8" s="96" t="e">
        <f>(#REF!+#REF!)/Mil</f>
        <v>#REF!</v>
      </c>
      <c r="N8" s="96" t="e">
        <f>(#REF!+#REF!)/Mil</f>
        <v>#REF!</v>
      </c>
      <c r="O8" s="96" t="e">
        <f>(#REF!+#REF!)/Mil</f>
        <v>#REF!</v>
      </c>
      <c r="P8" s="96" t="e">
        <f>(#REF!+#REF!)/Mil</f>
        <v>#REF!</v>
      </c>
      <c r="Q8" s="96" t="e">
        <f>(#REF!+#REF!)/Mil</f>
        <v>#REF!</v>
      </c>
      <c r="R8" s="96" t="e">
        <f>(#REF!+#REF!)/Mil</f>
        <v>#REF!</v>
      </c>
      <c r="S8" s="1077" t="e">
        <f>SUM(C8:R8)</f>
        <v>#REF!</v>
      </c>
      <c r="T8" s="1078" t="e">
        <f>S8/$S$14</f>
        <v>#REF!</v>
      </c>
    </row>
    <row r="9" spans="1:20" ht="26.25" customHeight="1">
      <c r="A9" s="74">
        <v>2</v>
      </c>
      <c r="B9" s="95" t="s">
        <v>496</v>
      </c>
      <c r="C9" s="96" t="e">
        <f>(#REF!+#REF!)/Mil</f>
        <v>#REF!</v>
      </c>
      <c r="D9" s="96" t="e">
        <f>(#REF!+#REF!)/Mil</f>
        <v>#REF!</v>
      </c>
      <c r="E9" s="96" t="e">
        <f>(#REF!+#REF!)/Mil</f>
        <v>#REF!</v>
      </c>
      <c r="F9" s="96" t="e">
        <f>(#REF!+#REF!)/Mil</f>
        <v>#REF!</v>
      </c>
      <c r="G9" s="96" t="e">
        <f>(#REF!+#REF!)/Mil</f>
        <v>#REF!</v>
      </c>
      <c r="H9" s="96" t="e">
        <f>(#REF!+#REF!)/Mil</f>
        <v>#REF!</v>
      </c>
      <c r="I9" s="96" t="e">
        <f>(#REF!+#REF!)/Mil</f>
        <v>#REF!</v>
      </c>
      <c r="J9" s="96" t="e">
        <f>(#REF!+#REF!)/Mil</f>
        <v>#REF!</v>
      </c>
      <c r="K9" s="96" t="e">
        <f>(#REF!+#REF!)/Mil</f>
        <v>#REF!</v>
      </c>
      <c r="L9" s="96" t="e">
        <f>(#REF!+#REF!)/Mil</f>
        <v>#REF!</v>
      </c>
      <c r="M9" s="96" t="e">
        <f>(#REF!+#REF!)/Mil</f>
        <v>#REF!</v>
      </c>
      <c r="N9" s="96" t="e">
        <f>(#REF!+#REF!)/Mil</f>
        <v>#REF!</v>
      </c>
      <c r="O9" s="96" t="e">
        <f>(#REF!+#REF!)/Mil</f>
        <v>#REF!</v>
      </c>
      <c r="P9" s="96" t="e">
        <f>(#REF!+#REF!)/Mil</f>
        <v>#REF!</v>
      </c>
      <c r="Q9" s="96" t="e">
        <f>(#REF!+#REF!)/Mil</f>
        <v>#REF!</v>
      </c>
      <c r="R9" s="96" t="e">
        <f>(#REF!+#REF!)/Mil</f>
        <v>#REF!</v>
      </c>
      <c r="S9" s="1077" t="e">
        <f>SUM(C9:R9)</f>
        <v>#REF!</v>
      </c>
      <c r="T9" s="1078" t="e">
        <f>S9/$S$14</f>
        <v>#REF!</v>
      </c>
    </row>
    <row r="10" spans="1:20" ht="26.25" customHeight="1">
      <c r="A10" s="74">
        <v>3</v>
      </c>
      <c r="B10" s="95" t="s">
        <v>497</v>
      </c>
      <c r="C10" s="96" t="e">
        <f>(#REF!+#REF!)/Mil</f>
        <v>#REF!</v>
      </c>
      <c r="D10" s="96" t="e">
        <f>(#REF!+#REF!)/Mil</f>
        <v>#REF!</v>
      </c>
      <c r="E10" s="96" t="e">
        <f>(#REF!+#REF!)/Mil</f>
        <v>#REF!</v>
      </c>
      <c r="F10" s="96" t="e">
        <f>(#REF!+#REF!)/Mil</f>
        <v>#REF!</v>
      </c>
      <c r="G10" s="96" t="e">
        <f>(#REF!+#REF!)/Mil</f>
        <v>#REF!</v>
      </c>
      <c r="H10" s="96" t="e">
        <f>(#REF!+#REF!)/Mil</f>
        <v>#REF!</v>
      </c>
      <c r="I10" s="96" t="e">
        <f>(#REF!+#REF!)/Mil</f>
        <v>#REF!</v>
      </c>
      <c r="J10" s="96" t="e">
        <f>(#REF!+#REF!)/Mil</f>
        <v>#REF!</v>
      </c>
      <c r="K10" s="96" t="e">
        <f>(#REF!+#REF!)/Mil</f>
        <v>#REF!</v>
      </c>
      <c r="L10" s="96" t="e">
        <f>(#REF!+#REF!)/Mil</f>
        <v>#REF!</v>
      </c>
      <c r="M10" s="96" t="e">
        <f>(#REF!+#REF!)/Mil</f>
        <v>#REF!</v>
      </c>
      <c r="N10" s="96" t="e">
        <f>(#REF!+#REF!)/Mil</f>
        <v>#REF!</v>
      </c>
      <c r="O10" s="96" t="e">
        <f>(#REF!+#REF!)/Mil</f>
        <v>#REF!</v>
      </c>
      <c r="P10" s="96" t="e">
        <f>(#REF!+#REF!)/Mil</f>
        <v>#REF!</v>
      </c>
      <c r="Q10" s="96" t="e">
        <f>(#REF!+#REF!)/Mil</f>
        <v>#REF!</v>
      </c>
      <c r="R10" s="96" t="e">
        <f>(#REF!+#REF!)/Mil</f>
        <v>#REF!</v>
      </c>
      <c r="S10" s="1077" t="e">
        <f>SUM(C10:R10)</f>
        <v>#REF!</v>
      </c>
      <c r="T10" s="1078" t="e">
        <f>S10/$S$14</f>
        <v>#REF!</v>
      </c>
    </row>
    <row r="11" spans="1:20" ht="26.25" customHeight="1">
      <c r="A11" s="74">
        <v>4</v>
      </c>
      <c r="B11" s="101" t="s">
        <v>498</v>
      </c>
      <c r="C11" s="96" t="e">
        <f>(#REF!+#REF!)/Mil</f>
        <v>#REF!</v>
      </c>
      <c r="D11" s="96" t="e">
        <f>(#REF!+#REF!)/Mil</f>
        <v>#REF!</v>
      </c>
      <c r="E11" s="96" t="e">
        <f>(#REF!+#REF!)/Mil</f>
        <v>#REF!</v>
      </c>
      <c r="F11" s="96" t="e">
        <f>(#REF!+#REF!)/Mil</f>
        <v>#REF!</v>
      </c>
      <c r="G11" s="96" t="e">
        <f>(#REF!+#REF!)/Mil</f>
        <v>#REF!</v>
      </c>
      <c r="H11" s="96" t="e">
        <f>(#REF!+#REF!)/Mil</f>
        <v>#REF!</v>
      </c>
      <c r="I11" s="96" t="e">
        <f>(#REF!+#REF!)/Mil</f>
        <v>#REF!</v>
      </c>
      <c r="J11" s="96" t="e">
        <f>(#REF!+#REF!)/Mil</f>
        <v>#REF!</v>
      </c>
      <c r="K11" s="96" t="e">
        <f>(#REF!+#REF!)/Mil</f>
        <v>#REF!</v>
      </c>
      <c r="L11" s="96" t="e">
        <f>(#REF!+#REF!)/Mil</f>
        <v>#REF!</v>
      </c>
      <c r="M11" s="96" t="e">
        <f>(#REF!+#REF!)/Mil</f>
        <v>#REF!</v>
      </c>
      <c r="N11" s="96" t="e">
        <f>(#REF!+#REF!)/Mil</f>
        <v>#REF!</v>
      </c>
      <c r="O11" s="96" t="e">
        <f>(#REF!+#REF!)/Mil</f>
        <v>#REF!</v>
      </c>
      <c r="P11" s="96" t="e">
        <f>(#REF!+#REF!)/Mil</f>
        <v>#REF!</v>
      </c>
      <c r="Q11" s="96" t="e">
        <f>(#REF!+#REF!)/Mil</f>
        <v>#REF!</v>
      </c>
      <c r="R11" s="96" t="e">
        <f>(#REF!+#REF!)/Mil</f>
        <v>#REF!</v>
      </c>
      <c r="S11" s="1077" t="e">
        <f>SUM(C11:R11)</f>
        <v>#REF!</v>
      </c>
      <c r="T11" s="1078" t="e">
        <f>S11/$S$14</f>
        <v>#REF!</v>
      </c>
    </row>
    <row r="12" spans="1:20" ht="26.25" customHeight="1">
      <c r="A12" s="74">
        <v>5</v>
      </c>
      <c r="B12" s="339" t="e">
        <f>#REF!</f>
        <v>#REF!</v>
      </c>
      <c r="C12" s="96" t="e">
        <f>(#REF!+#REF!)/Mil</f>
        <v>#REF!</v>
      </c>
      <c r="D12" s="96" t="e">
        <f>(#REF!+#REF!)/Mil</f>
        <v>#REF!</v>
      </c>
      <c r="E12" s="96" t="e">
        <f>(#REF!+#REF!)/Mil</f>
        <v>#REF!</v>
      </c>
      <c r="F12" s="96" t="e">
        <f>(#REF!+#REF!)/Mil</f>
        <v>#REF!</v>
      </c>
      <c r="G12" s="96" t="e">
        <f>(#REF!+#REF!)/Mil</f>
        <v>#REF!</v>
      </c>
      <c r="H12" s="96" t="e">
        <f>(#REF!+#REF!)/Mil</f>
        <v>#REF!</v>
      </c>
      <c r="I12" s="96" t="e">
        <f>(#REF!+#REF!)/Mil</f>
        <v>#REF!</v>
      </c>
      <c r="J12" s="96" t="e">
        <f>(#REF!+#REF!)/Mil</f>
        <v>#REF!</v>
      </c>
      <c r="K12" s="96" t="e">
        <f>(#REF!+#REF!)/Mil</f>
        <v>#REF!</v>
      </c>
      <c r="L12" s="96" t="e">
        <f>(#REF!+#REF!)/Mil</f>
        <v>#REF!</v>
      </c>
      <c r="M12" s="96" t="e">
        <f>(#REF!+#REF!)/Mil</f>
        <v>#REF!</v>
      </c>
      <c r="N12" s="96" t="e">
        <f>(#REF!+#REF!)/Mil</f>
        <v>#REF!</v>
      </c>
      <c r="O12" s="96" t="e">
        <f>(#REF!+#REF!)/Mil</f>
        <v>#REF!</v>
      </c>
      <c r="P12" s="96" t="e">
        <f>(#REF!+#REF!)/Mil</f>
        <v>#REF!</v>
      </c>
      <c r="Q12" s="96" t="e">
        <f>(#REF!+#REF!)/Mil</f>
        <v>#REF!</v>
      </c>
      <c r="R12" s="96" t="e">
        <f>(#REF!+#REF!)/Mil</f>
        <v>#REF!</v>
      </c>
      <c r="S12" s="1077" t="e">
        <f>SUM(C12:R12)</f>
        <v>#REF!</v>
      </c>
      <c r="T12" s="1078" t="e">
        <f>S12/$S$14</f>
        <v>#REF!</v>
      </c>
    </row>
    <row r="13" spans="1:20">
      <c r="A13" s="41"/>
      <c r="B13" s="51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1079"/>
      <c r="S13" s="1079"/>
      <c r="T13" s="98"/>
    </row>
    <row r="14" spans="1:20" ht="26.25" customHeight="1">
      <c r="A14" s="41"/>
      <c r="B14" s="1080" t="s">
        <v>490</v>
      </c>
      <c r="C14" s="1081" t="e">
        <f>SUM(C8:C12)</f>
        <v>#REF!</v>
      </c>
      <c r="D14" s="1081" t="e">
        <f t="shared" ref="D14:S14" si="0">SUM(D8:D12)</f>
        <v>#REF!</v>
      </c>
      <c r="E14" s="1081" t="e">
        <f t="shared" si="0"/>
        <v>#REF!</v>
      </c>
      <c r="F14" s="1081" t="e">
        <f t="shared" si="0"/>
        <v>#REF!</v>
      </c>
      <c r="G14" s="1081" t="e">
        <f t="shared" si="0"/>
        <v>#REF!</v>
      </c>
      <c r="H14" s="1081" t="e">
        <f t="shared" si="0"/>
        <v>#REF!</v>
      </c>
      <c r="I14" s="1081" t="e">
        <f t="shared" si="0"/>
        <v>#REF!</v>
      </c>
      <c r="J14" s="1081" t="e">
        <f t="shared" si="0"/>
        <v>#REF!</v>
      </c>
      <c r="K14" s="1081" t="e">
        <f t="shared" si="0"/>
        <v>#REF!</v>
      </c>
      <c r="L14" s="1081" t="e">
        <f t="shared" si="0"/>
        <v>#REF!</v>
      </c>
      <c r="M14" s="1081" t="e">
        <f t="shared" si="0"/>
        <v>#REF!</v>
      </c>
      <c r="N14" s="1081" t="e">
        <f t="shared" si="0"/>
        <v>#REF!</v>
      </c>
      <c r="O14" s="1081" t="e">
        <f t="shared" si="0"/>
        <v>#REF!</v>
      </c>
      <c r="P14" s="1081" t="e">
        <f t="shared" si="0"/>
        <v>#REF!</v>
      </c>
      <c r="Q14" s="1081" t="e">
        <f t="shared" si="0"/>
        <v>#REF!</v>
      </c>
      <c r="R14" s="1081" t="e">
        <f t="shared" si="0"/>
        <v>#REF!</v>
      </c>
      <c r="S14" s="1081" t="e">
        <f t="shared" si="0"/>
        <v>#REF!</v>
      </c>
      <c r="T14" s="1082" t="e">
        <f>SUM(T9:T12)</f>
        <v>#REF!</v>
      </c>
    </row>
    <row r="15" spans="1:20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5">
      <c r="A17" s="1067" t="s">
        <v>491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760"/>
      <c r="V17" s="760"/>
      <c r="W17" s="760"/>
      <c r="X17" s="760"/>
      <c r="Y17" s="760"/>
    </row>
    <row r="18" spans="1:25">
      <c r="A18" s="951" t="s">
        <v>487</v>
      </c>
      <c r="B18" s="1074" t="s">
        <v>488</v>
      </c>
      <c r="C18" s="1075" t="str">
        <f>C6</f>
        <v>Monto en miles de Soles (S/ x 1000)</v>
      </c>
      <c r="D18" s="1075"/>
      <c r="E18" s="1075"/>
      <c r="F18" s="1075"/>
      <c r="G18" s="1075"/>
      <c r="H18" s="1075"/>
      <c r="I18" s="1075"/>
      <c r="J18" s="1075"/>
      <c r="K18" s="1075"/>
      <c r="L18" s="1075"/>
      <c r="M18" s="1075"/>
      <c r="N18" s="1075"/>
      <c r="O18" s="1075"/>
      <c r="P18" s="1075"/>
      <c r="Q18" s="1075"/>
      <c r="R18" s="1075"/>
      <c r="S18" s="1074" t="s">
        <v>18</v>
      </c>
      <c r="T18" s="1074" t="s">
        <v>107</v>
      </c>
      <c r="U18" s="760"/>
      <c r="V18" s="1074" t="s">
        <v>499</v>
      </c>
      <c r="W18" s="760"/>
      <c r="X18" s="760"/>
      <c r="Y18" s="760"/>
    </row>
    <row r="19" spans="1:25">
      <c r="A19" s="951"/>
      <c r="B19" s="1074"/>
      <c r="C19" s="1076" t="e">
        <f>C7</f>
        <v>#REF!</v>
      </c>
      <c r="D19" s="1076" t="e">
        <f t="shared" ref="D19:R19" si="1">D7</f>
        <v>#REF!</v>
      </c>
      <c r="E19" s="1076" t="e">
        <f t="shared" si="1"/>
        <v>#REF!</v>
      </c>
      <c r="F19" s="1076" t="e">
        <f t="shared" si="1"/>
        <v>#REF!</v>
      </c>
      <c r="G19" s="1076" t="e">
        <f t="shared" si="1"/>
        <v>#REF!</v>
      </c>
      <c r="H19" s="1076" t="e">
        <f t="shared" si="1"/>
        <v>#REF!</v>
      </c>
      <c r="I19" s="1076" t="e">
        <f t="shared" si="1"/>
        <v>#REF!</v>
      </c>
      <c r="J19" s="1076" t="e">
        <f t="shared" si="1"/>
        <v>#REF!</v>
      </c>
      <c r="K19" s="1076" t="e">
        <f t="shared" si="1"/>
        <v>#REF!</v>
      </c>
      <c r="L19" s="1076" t="e">
        <f t="shared" si="1"/>
        <v>#REF!</v>
      </c>
      <c r="M19" s="1076" t="e">
        <f t="shared" si="1"/>
        <v>#REF!</v>
      </c>
      <c r="N19" s="1076" t="e">
        <f t="shared" si="1"/>
        <v>#REF!</v>
      </c>
      <c r="O19" s="1076" t="e">
        <f t="shared" si="1"/>
        <v>#REF!</v>
      </c>
      <c r="P19" s="1076" t="e">
        <f t="shared" si="1"/>
        <v>#REF!</v>
      </c>
      <c r="Q19" s="1076" t="e">
        <f t="shared" si="1"/>
        <v>#REF!</v>
      </c>
      <c r="R19" s="1076" t="e">
        <f t="shared" si="1"/>
        <v>#REF!</v>
      </c>
      <c r="S19" s="1074"/>
      <c r="T19" s="1074"/>
      <c r="U19" s="760"/>
      <c r="V19" s="1074"/>
      <c r="W19" s="760"/>
      <c r="X19" s="760"/>
      <c r="Y19" s="760"/>
    </row>
    <row r="20" spans="1:25" ht="26.25" customHeight="1">
      <c r="A20" s="74">
        <v>1</v>
      </c>
      <c r="B20" s="95" t="str">
        <f>B8</f>
        <v>Mejora del modelo de gobernanza institucional en SUNAT</v>
      </c>
      <c r="C20" s="96" t="e">
        <f>#REF!/Mil</f>
        <v>#REF!</v>
      </c>
      <c r="D20" s="96" t="e">
        <f>#REF!/Mil</f>
        <v>#REF!</v>
      </c>
      <c r="E20" s="96" t="e">
        <f>#REF!/Mil</f>
        <v>#REF!</v>
      </c>
      <c r="F20" s="96" t="e">
        <f>#REF!/Mil</f>
        <v>#REF!</v>
      </c>
      <c r="G20" s="96" t="e">
        <f>#REF!/Mil</f>
        <v>#REF!</v>
      </c>
      <c r="H20" s="96" t="e">
        <f>#REF!/Mil</f>
        <v>#REF!</v>
      </c>
      <c r="I20" s="96" t="e">
        <f>#REF!/Mil</f>
        <v>#REF!</v>
      </c>
      <c r="J20" s="96" t="e">
        <f>#REF!/Mil</f>
        <v>#REF!</v>
      </c>
      <c r="K20" s="96" t="e">
        <f>#REF!/Mil</f>
        <v>#REF!</v>
      </c>
      <c r="L20" s="96" t="e">
        <f>#REF!/Mil</f>
        <v>#REF!</v>
      </c>
      <c r="M20" s="96" t="e">
        <f>#REF!/Mil</f>
        <v>#REF!</v>
      </c>
      <c r="N20" s="96" t="e">
        <f>#REF!/Mil</f>
        <v>#REF!</v>
      </c>
      <c r="O20" s="96" t="e">
        <f>#REF!/Mil</f>
        <v>#REF!</v>
      </c>
      <c r="P20" s="96" t="e">
        <f>#REF!/Mil</f>
        <v>#REF!</v>
      </c>
      <c r="Q20" s="96" t="e">
        <f>#REF!/Mil</f>
        <v>#REF!</v>
      </c>
      <c r="R20" s="96" t="e">
        <f>#REF!/Mil</f>
        <v>#REF!</v>
      </c>
      <c r="S20" s="1077" t="e">
        <f>SUM(C20:R20)</f>
        <v>#REF!</v>
      </c>
      <c r="T20" s="1078" t="e">
        <f>S20/$S$26</f>
        <v>#REF!</v>
      </c>
      <c r="U20" s="760"/>
      <c r="V20" s="1077" t="e">
        <f>'1. Detailed Budget POA'!$B$8*TC/Mil</f>
        <v>#REF!</v>
      </c>
      <c r="W20" s="760"/>
      <c r="X20" s="760"/>
      <c r="Y20" s="760"/>
    </row>
    <row r="21" spans="1:25" ht="26.25" customHeight="1">
      <c r="A21" s="74">
        <v>2</v>
      </c>
      <c r="B21" s="95" t="str">
        <f>B9</f>
        <v xml:space="preserve">Mejora del control y cumplimiento tributario y aduanero </v>
      </c>
      <c r="C21" s="96" t="e">
        <f>#REF!/Mil</f>
        <v>#REF!</v>
      </c>
      <c r="D21" s="96" t="e">
        <f>#REF!/Mil</f>
        <v>#REF!</v>
      </c>
      <c r="E21" s="96" t="e">
        <f>#REF!/Mil</f>
        <v>#REF!</v>
      </c>
      <c r="F21" s="96" t="e">
        <f>#REF!/Mil</f>
        <v>#REF!</v>
      </c>
      <c r="G21" s="96" t="e">
        <f>#REF!/Mil</f>
        <v>#REF!</v>
      </c>
      <c r="H21" s="96" t="e">
        <f>#REF!/Mil</f>
        <v>#REF!</v>
      </c>
      <c r="I21" s="96" t="e">
        <f>#REF!/Mil</f>
        <v>#REF!</v>
      </c>
      <c r="J21" s="96" t="e">
        <f>#REF!/Mil</f>
        <v>#REF!</v>
      </c>
      <c r="K21" s="96" t="e">
        <f>#REF!/Mil</f>
        <v>#REF!</v>
      </c>
      <c r="L21" s="96" t="e">
        <f>#REF!/Mil</f>
        <v>#REF!</v>
      </c>
      <c r="M21" s="96" t="e">
        <f>#REF!/Mil</f>
        <v>#REF!</v>
      </c>
      <c r="N21" s="96" t="e">
        <f>#REF!/Mil</f>
        <v>#REF!</v>
      </c>
      <c r="O21" s="96" t="e">
        <f>#REF!/Mil</f>
        <v>#REF!</v>
      </c>
      <c r="P21" s="96" t="e">
        <f>#REF!/Mil</f>
        <v>#REF!</v>
      </c>
      <c r="Q21" s="96" t="e">
        <f>#REF!/Mil</f>
        <v>#REF!</v>
      </c>
      <c r="R21" s="96" t="e">
        <f>#REF!/Mil</f>
        <v>#REF!</v>
      </c>
      <c r="S21" s="1077" t="e">
        <f>SUM(C21:R21)</f>
        <v>#REF!</v>
      </c>
      <c r="T21" s="1078" t="e">
        <f>S21/$S$26</f>
        <v>#REF!</v>
      </c>
      <c r="U21" s="760"/>
      <c r="V21" s="1077" t="e">
        <f>'1. Detailed Budget POA'!$B$37*TC/Mil</f>
        <v>#REF!</v>
      </c>
      <c r="W21" s="760"/>
      <c r="X21" s="21" t="e">
        <f>V21-S21</f>
        <v>#REF!</v>
      </c>
      <c r="Y21" s="760" t="e">
        <f>X21*TC</f>
        <v>#REF!</v>
      </c>
    </row>
    <row r="22" spans="1:25" ht="26.25" customHeight="1">
      <c r="A22" s="74">
        <v>3</v>
      </c>
      <c r="B22" s="95" t="str">
        <f>B10</f>
        <v>Fortalecimiento de la inteligencia fiscal y de la gestión del riesgo</v>
      </c>
      <c r="C22" s="96" t="e">
        <f>#REF!/Mil</f>
        <v>#REF!</v>
      </c>
      <c r="D22" s="96" t="e">
        <f>#REF!/Mil</f>
        <v>#REF!</v>
      </c>
      <c r="E22" s="96" t="e">
        <f>#REF!/Mil</f>
        <v>#REF!</v>
      </c>
      <c r="F22" s="96" t="e">
        <f>#REF!/Mil</f>
        <v>#REF!</v>
      </c>
      <c r="G22" s="96" t="e">
        <f>#REF!/Mil</f>
        <v>#REF!</v>
      </c>
      <c r="H22" s="96" t="e">
        <f>#REF!/Mil</f>
        <v>#REF!</v>
      </c>
      <c r="I22" s="96" t="e">
        <f>#REF!/Mil</f>
        <v>#REF!</v>
      </c>
      <c r="J22" s="96" t="e">
        <f>#REF!/Mil</f>
        <v>#REF!</v>
      </c>
      <c r="K22" s="96" t="e">
        <f>#REF!/Mil</f>
        <v>#REF!</v>
      </c>
      <c r="L22" s="96" t="e">
        <f>#REF!/Mil</f>
        <v>#REF!</v>
      </c>
      <c r="M22" s="96" t="e">
        <f>#REF!/Mil</f>
        <v>#REF!</v>
      </c>
      <c r="N22" s="96" t="e">
        <f>#REF!/Mil</f>
        <v>#REF!</v>
      </c>
      <c r="O22" s="96" t="e">
        <f>#REF!/Mil</f>
        <v>#REF!</v>
      </c>
      <c r="P22" s="96" t="e">
        <f>#REF!/Mil</f>
        <v>#REF!</v>
      </c>
      <c r="Q22" s="96" t="e">
        <f>#REF!/Mil</f>
        <v>#REF!</v>
      </c>
      <c r="R22" s="96" t="e">
        <f>#REF!/Mil</f>
        <v>#REF!</v>
      </c>
      <c r="S22" s="1077" t="e">
        <f>SUM(C22:R22)</f>
        <v>#REF!</v>
      </c>
      <c r="T22" s="1078" t="e">
        <f>S22/$S$26</f>
        <v>#REF!</v>
      </c>
      <c r="U22" s="760"/>
      <c r="V22" s="1077" t="e">
        <f>'1. Detailed Budget POA'!$B$69*TC/Mil</f>
        <v>#REF!</v>
      </c>
      <c r="W22" s="760"/>
      <c r="X22" s="21" t="e">
        <f>V22-S22</f>
        <v>#REF!</v>
      </c>
      <c r="Y22" s="760"/>
    </row>
    <row r="23" spans="1:25" ht="26.25" customHeight="1">
      <c r="A23" s="74">
        <v>4</v>
      </c>
      <c r="B23" s="95" t="str">
        <f>B11</f>
        <v>Administración del proyecto</v>
      </c>
      <c r="C23" s="96" t="e">
        <f>#REF!/Mil</f>
        <v>#REF!</v>
      </c>
      <c r="D23" s="96" t="e">
        <f>#REF!/Mil</f>
        <v>#REF!</v>
      </c>
      <c r="E23" s="96" t="e">
        <f>#REF!/Mil</f>
        <v>#REF!</v>
      </c>
      <c r="F23" s="96" t="e">
        <f>#REF!/Mil</f>
        <v>#REF!</v>
      </c>
      <c r="G23" s="96" t="e">
        <f>#REF!/Mil</f>
        <v>#REF!</v>
      </c>
      <c r="H23" s="96" t="e">
        <f>#REF!/Mil</f>
        <v>#REF!</v>
      </c>
      <c r="I23" s="96" t="e">
        <f>#REF!/Mil</f>
        <v>#REF!</v>
      </c>
      <c r="J23" s="96" t="e">
        <f>#REF!/Mil</f>
        <v>#REF!</v>
      </c>
      <c r="K23" s="96" t="e">
        <f>#REF!/Mil</f>
        <v>#REF!</v>
      </c>
      <c r="L23" s="96" t="e">
        <f>#REF!/Mil</f>
        <v>#REF!</v>
      </c>
      <c r="M23" s="96" t="e">
        <f>#REF!/Mil</f>
        <v>#REF!</v>
      </c>
      <c r="N23" s="96" t="e">
        <f>#REF!/Mil</f>
        <v>#REF!</v>
      </c>
      <c r="O23" s="96" t="e">
        <f>#REF!/Mil</f>
        <v>#REF!</v>
      </c>
      <c r="P23" s="96" t="e">
        <f>#REF!/Mil</f>
        <v>#REF!</v>
      </c>
      <c r="Q23" s="96" t="e">
        <f>#REF!/Mil</f>
        <v>#REF!</v>
      </c>
      <c r="R23" s="96" t="e">
        <f>#REF!/Mil</f>
        <v>#REF!</v>
      </c>
      <c r="S23" s="1077" t="e">
        <f>SUM(C23:R23)</f>
        <v>#REF!</v>
      </c>
      <c r="T23" s="1078" t="e">
        <f>S23/$S$26</f>
        <v>#REF!</v>
      </c>
      <c r="U23" s="760"/>
      <c r="V23" s="1077" t="e">
        <f>'1. Detailed Budget POA'!$B$95*TC/Mil</f>
        <v>#REF!</v>
      </c>
      <c r="W23" s="760"/>
      <c r="X23" s="760"/>
      <c r="Y23" s="760"/>
    </row>
    <row r="24" spans="1:25" ht="26.25" customHeight="1">
      <c r="A24" s="74">
        <v>5</v>
      </c>
      <c r="B24" s="95" t="e">
        <f>B12</f>
        <v>#REF!</v>
      </c>
      <c r="C24" s="96" t="e">
        <f>#REF!/Mil</f>
        <v>#REF!</v>
      </c>
      <c r="D24" s="96" t="e">
        <f>#REF!/Mil</f>
        <v>#REF!</v>
      </c>
      <c r="E24" s="96" t="e">
        <f>#REF!/Mil</f>
        <v>#REF!</v>
      </c>
      <c r="F24" s="96" t="e">
        <f>#REF!/Mil</f>
        <v>#REF!</v>
      </c>
      <c r="G24" s="96" t="e">
        <f>#REF!/Mil</f>
        <v>#REF!</v>
      </c>
      <c r="H24" s="96" t="e">
        <f>#REF!/Mil</f>
        <v>#REF!</v>
      </c>
      <c r="I24" s="96" t="e">
        <f>#REF!/Mil</f>
        <v>#REF!</v>
      </c>
      <c r="J24" s="96" t="e">
        <f>#REF!/Mil</f>
        <v>#REF!</v>
      </c>
      <c r="K24" s="96" t="e">
        <f>#REF!/Mil</f>
        <v>#REF!</v>
      </c>
      <c r="L24" s="96" t="e">
        <f>#REF!/Mil</f>
        <v>#REF!</v>
      </c>
      <c r="M24" s="96" t="e">
        <f>#REF!/Mil</f>
        <v>#REF!</v>
      </c>
      <c r="N24" s="96" t="e">
        <f>#REF!/Mil</f>
        <v>#REF!</v>
      </c>
      <c r="O24" s="96" t="e">
        <f>#REF!/Mil</f>
        <v>#REF!</v>
      </c>
      <c r="P24" s="96" t="e">
        <f>#REF!/Mil</f>
        <v>#REF!</v>
      </c>
      <c r="Q24" s="96" t="e">
        <f>#REF!/Mil</f>
        <v>#REF!</v>
      </c>
      <c r="R24" s="96" t="e">
        <f>#REF!/Mil</f>
        <v>#REF!</v>
      </c>
      <c r="S24" s="1077" t="e">
        <f>SUM(C24:R24)</f>
        <v>#REF!</v>
      </c>
      <c r="T24" s="1078" t="e">
        <f>S24/$S$26</f>
        <v>#REF!</v>
      </c>
      <c r="U24" s="760"/>
      <c r="V24" s="1077" t="e">
        <f>'1. Detailed Budget POA'!B116*TC/Mil</f>
        <v>#REF!</v>
      </c>
      <c r="W24" s="760"/>
      <c r="X24" s="760"/>
      <c r="Y24" s="760"/>
    </row>
    <row r="25" spans="1:25">
      <c r="A25" s="41"/>
      <c r="B25" s="51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1079"/>
      <c r="S25" s="1079"/>
      <c r="T25" s="98"/>
      <c r="U25" s="760"/>
      <c r="V25" s="760"/>
      <c r="W25" s="760"/>
      <c r="X25" s="760"/>
      <c r="Y25" s="760"/>
    </row>
    <row r="26" spans="1:25" ht="26.25" customHeight="1">
      <c r="A26" s="41"/>
      <c r="B26" s="1080" t="s">
        <v>490</v>
      </c>
      <c r="C26" s="1081" t="e">
        <f>SUM(C20:C24)</f>
        <v>#REF!</v>
      </c>
      <c r="D26" s="1081" t="e">
        <f t="shared" ref="D26:S26" si="2">SUM(D20:D24)</f>
        <v>#REF!</v>
      </c>
      <c r="E26" s="1081" t="e">
        <f t="shared" si="2"/>
        <v>#REF!</v>
      </c>
      <c r="F26" s="1081" t="e">
        <f t="shared" si="2"/>
        <v>#REF!</v>
      </c>
      <c r="G26" s="1081" t="e">
        <f t="shared" si="2"/>
        <v>#REF!</v>
      </c>
      <c r="H26" s="1081" t="e">
        <f t="shared" si="2"/>
        <v>#REF!</v>
      </c>
      <c r="I26" s="1081" t="e">
        <f t="shared" si="2"/>
        <v>#REF!</v>
      </c>
      <c r="J26" s="1081" t="e">
        <f t="shared" si="2"/>
        <v>#REF!</v>
      </c>
      <c r="K26" s="1081" t="e">
        <f t="shared" si="2"/>
        <v>#REF!</v>
      </c>
      <c r="L26" s="1081" t="e">
        <f t="shared" si="2"/>
        <v>#REF!</v>
      </c>
      <c r="M26" s="1081" t="e">
        <f t="shared" si="2"/>
        <v>#REF!</v>
      </c>
      <c r="N26" s="1081" t="e">
        <f t="shared" si="2"/>
        <v>#REF!</v>
      </c>
      <c r="O26" s="1081" t="e">
        <f t="shared" si="2"/>
        <v>#REF!</v>
      </c>
      <c r="P26" s="1081" t="e">
        <f t="shared" si="2"/>
        <v>#REF!</v>
      </c>
      <c r="Q26" s="1081" t="e">
        <f t="shared" si="2"/>
        <v>#REF!</v>
      </c>
      <c r="R26" s="1081" t="e">
        <f t="shared" si="2"/>
        <v>#REF!</v>
      </c>
      <c r="S26" s="1081" t="e">
        <f t="shared" si="2"/>
        <v>#REF!</v>
      </c>
      <c r="T26" s="1082" t="e">
        <f>S26/$S$26</f>
        <v>#REF!</v>
      </c>
      <c r="U26" s="760"/>
      <c r="V26" s="1081" t="e">
        <f>SUM(V20:V24)</f>
        <v>#REF!</v>
      </c>
      <c r="W26" s="760"/>
      <c r="X26" s="760"/>
      <c r="Y26" s="760"/>
    </row>
    <row r="27" spans="1: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760"/>
      <c r="V27" s="760"/>
      <c r="W27" s="760"/>
      <c r="X27" s="760"/>
      <c r="Y27" s="760"/>
    </row>
    <row r="28" spans="1: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760"/>
      <c r="V28" s="760"/>
      <c r="W28" s="760"/>
      <c r="X28" s="760"/>
      <c r="Y28" s="760"/>
    </row>
    <row r="29" spans="1:25">
      <c r="A29" s="1067" t="s">
        <v>492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760"/>
      <c r="V29" s="760"/>
      <c r="W29" s="760"/>
      <c r="X29" s="760"/>
      <c r="Y29" s="760"/>
    </row>
    <row r="30" spans="1:25">
      <c r="A30" s="951"/>
      <c r="B30" s="1074" t="s">
        <v>488</v>
      </c>
      <c r="C30" s="1075" t="str">
        <f>C18</f>
        <v>Monto en miles de Soles (S/ x 1000)</v>
      </c>
      <c r="D30" s="1075"/>
      <c r="E30" s="1075"/>
      <c r="F30" s="1075"/>
      <c r="G30" s="1075"/>
      <c r="H30" s="1075"/>
      <c r="I30" s="1075"/>
      <c r="J30" s="1075"/>
      <c r="K30" s="1075"/>
      <c r="L30" s="1075"/>
      <c r="M30" s="1075"/>
      <c r="N30" s="1075"/>
      <c r="O30" s="1075"/>
      <c r="P30" s="1075"/>
      <c r="Q30" s="1075"/>
      <c r="R30" s="1075"/>
      <c r="S30" s="1074" t="s">
        <v>18</v>
      </c>
      <c r="T30" s="1074" t="s">
        <v>107</v>
      </c>
      <c r="U30" s="760"/>
      <c r="V30" s="760"/>
      <c r="W30" s="760"/>
      <c r="X30" s="760"/>
      <c r="Y30" s="760"/>
    </row>
    <row r="31" spans="1:25">
      <c r="A31" s="951"/>
      <c r="B31" s="1074"/>
      <c r="C31" s="1076" t="e">
        <f t="shared" ref="C31:R31" si="3">C7</f>
        <v>#REF!</v>
      </c>
      <c r="D31" s="1076" t="e">
        <f t="shared" si="3"/>
        <v>#REF!</v>
      </c>
      <c r="E31" s="1076" t="e">
        <f t="shared" si="3"/>
        <v>#REF!</v>
      </c>
      <c r="F31" s="1076" t="e">
        <f t="shared" si="3"/>
        <v>#REF!</v>
      </c>
      <c r="G31" s="1076" t="e">
        <f t="shared" si="3"/>
        <v>#REF!</v>
      </c>
      <c r="H31" s="1076" t="e">
        <f t="shared" si="3"/>
        <v>#REF!</v>
      </c>
      <c r="I31" s="1076" t="e">
        <f t="shared" si="3"/>
        <v>#REF!</v>
      </c>
      <c r="J31" s="1076" t="e">
        <f t="shared" si="3"/>
        <v>#REF!</v>
      </c>
      <c r="K31" s="1076" t="e">
        <f t="shared" si="3"/>
        <v>#REF!</v>
      </c>
      <c r="L31" s="1076" t="e">
        <f t="shared" si="3"/>
        <v>#REF!</v>
      </c>
      <c r="M31" s="1076" t="e">
        <f t="shared" si="3"/>
        <v>#REF!</v>
      </c>
      <c r="N31" s="1076" t="e">
        <f t="shared" si="3"/>
        <v>#REF!</v>
      </c>
      <c r="O31" s="1076" t="e">
        <f t="shared" si="3"/>
        <v>#REF!</v>
      </c>
      <c r="P31" s="1076" t="e">
        <f t="shared" si="3"/>
        <v>#REF!</v>
      </c>
      <c r="Q31" s="1076" t="e">
        <f t="shared" si="3"/>
        <v>#REF!</v>
      </c>
      <c r="R31" s="1076" t="e">
        <f t="shared" si="3"/>
        <v>#REF!</v>
      </c>
      <c r="S31" s="1074"/>
      <c r="T31" s="1074"/>
      <c r="U31" s="760"/>
      <c r="V31" s="760"/>
      <c r="W31" s="760"/>
      <c r="X31" s="760"/>
      <c r="Y31" s="760"/>
    </row>
    <row r="32" spans="1:25" ht="26.25" customHeight="1">
      <c r="A32" s="74">
        <f t="shared" ref="A32:B36" si="4">A8</f>
        <v>1</v>
      </c>
      <c r="B32" s="95" t="str">
        <f t="shared" si="4"/>
        <v>Mejora del modelo de gobernanza institucional en SUNAT</v>
      </c>
      <c r="C32" s="96" t="e">
        <f>#REF!/Mil</f>
        <v>#REF!</v>
      </c>
      <c r="D32" s="96" t="e">
        <f>#REF!/Mil</f>
        <v>#REF!</v>
      </c>
      <c r="E32" s="96" t="e">
        <f>#REF!/Mil</f>
        <v>#REF!</v>
      </c>
      <c r="F32" s="96" t="e">
        <f>#REF!/Mil</f>
        <v>#REF!</v>
      </c>
      <c r="G32" s="96" t="e">
        <f>#REF!/Mil</f>
        <v>#REF!</v>
      </c>
      <c r="H32" s="96" t="e">
        <f>#REF!/Mil</f>
        <v>#REF!</v>
      </c>
      <c r="I32" s="96" t="e">
        <f>#REF!/Mil</f>
        <v>#REF!</v>
      </c>
      <c r="J32" s="96" t="e">
        <f>#REF!/Mil</f>
        <v>#REF!</v>
      </c>
      <c r="K32" s="96" t="e">
        <f>#REF!/Mil</f>
        <v>#REF!</v>
      </c>
      <c r="L32" s="96" t="e">
        <f>#REF!/Mil</f>
        <v>#REF!</v>
      </c>
      <c r="M32" s="96" t="e">
        <f>#REF!/Mil</f>
        <v>#REF!</v>
      </c>
      <c r="N32" s="96" t="e">
        <f>#REF!/Mil</f>
        <v>#REF!</v>
      </c>
      <c r="O32" s="96" t="e">
        <f>#REF!/Mil</f>
        <v>#REF!</v>
      </c>
      <c r="P32" s="96" t="e">
        <f>#REF!/Mil</f>
        <v>#REF!</v>
      </c>
      <c r="Q32" s="96" t="e">
        <f>#REF!/Mil</f>
        <v>#REF!</v>
      </c>
      <c r="R32" s="96" t="e">
        <f>#REF!/Mil</f>
        <v>#REF!</v>
      </c>
      <c r="S32" s="1077" t="e">
        <f>SUM(C32:R32)</f>
        <v>#REF!</v>
      </c>
      <c r="T32" s="1078" t="e">
        <f>S32/$S$38</f>
        <v>#REF!</v>
      </c>
      <c r="U32" s="760"/>
      <c r="V32" s="760"/>
      <c r="W32" s="760"/>
      <c r="X32" s="760"/>
      <c r="Y32" s="760"/>
    </row>
    <row r="33" spans="1:20" ht="26.25" customHeight="1">
      <c r="A33" s="74">
        <f t="shared" si="4"/>
        <v>2</v>
      </c>
      <c r="B33" s="95" t="str">
        <f t="shared" si="4"/>
        <v xml:space="preserve">Mejora del control y cumplimiento tributario y aduanero </v>
      </c>
      <c r="C33" s="96" t="e">
        <f>#REF!/Mil</f>
        <v>#REF!</v>
      </c>
      <c r="D33" s="96" t="e">
        <f>#REF!/Mil</f>
        <v>#REF!</v>
      </c>
      <c r="E33" s="96" t="e">
        <f>#REF!/Mil</f>
        <v>#REF!</v>
      </c>
      <c r="F33" s="96" t="e">
        <f>#REF!/Mil</f>
        <v>#REF!</v>
      </c>
      <c r="G33" s="96" t="e">
        <f>#REF!/Mil</f>
        <v>#REF!</v>
      </c>
      <c r="H33" s="96" t="e">
        <f>#REF!/Mil</f>
        <v>#REF!</v>
      </c>
      <c r="I33" s="96" t="e">
        <f>#REF!/Mil</f>
        <v>#REF!</v>
      </c>
      <c r="J33" s="96" t="e">
        <f>#REF!/Mil</f>
        <v>#REF!</v>
      </c>
      <c r="K33" s="96" t="e">
        <f>#REF!/Mil</f>
        <v>#REF!</v>
      </c>
      <c r="L33" s="96" t="e">
        <f>#REF!/Mil</f>
        <v>#REF!</v>
      </c>
      <c r="M33" s="96" t="e">
        <f>#REF!/Mil</f>
        <v>#REF!</v>
      </c>
      <c r="N33" s="96" t="e">
        <f>#REF!/Mil</f>
        <v>#REF!</v>
      </c>
      <c r="O33" s="96" t="e">
        <f>#REF!/Mil</f>
        <v>#REF!</v>
      </c>
      <c r="P33" s="96" t="e">
        <f>#REF!/Mil</f>
        <v>#REF!</v>
      </c>
      <c r="Q33" s="96" t="e">
        <f>#REF!/Mil</f>
        <v>#REF!</v>
      </c>
      <c r="R33" s="96" t="e">
        <f>#REF!/Mil</f>
        <v>#REF!</v>
      </c>
      <c r="S33" s="1077" t="e">
        <f>SUM(C33:R33)</f>
        <v>#REF!</v>
      </c>
      <c r="T33" s="1078" t="e">
        <f>S33/$S$38</f>
        <v>#REF!</v>
      </c>
    </row>
    <row r="34" spans="1:20" ht="26.25" customHeight="1">
      <c r="A34" s="74">
        <f t="shared" si="4"/>
        <v>3</v>
      </c>
      <c r="B34" s="95" t="str">
        <f t="shared" si="4"/>
        <v>Fortalecimiento de la inteligencia fiscal y de la gestión del riesgo</v>
      </c>
      <c r="C34" s="96" t="e">
        <f>#REF!/Mil</f>
        <v>#REF!</v>
      </c>
      <c r="D34" s="96" t="e">
        <f>#REF!/Mil</f>
        <v>#REF!</v>
      </c>
      <c r="E34" s="96" t="e">
        <f>#REF!/Mil</f>
        <v>#REF!</v>
      </c>
      <c r="F34" s="96" t="e">
        <f>#REF!/Mil</f>
        <v>#REF!</v>
      </c>
      <c r="G34" s="96" t="e">
        <f>#REF!/Mil</f>
        <v>#REF!</v>
      </c>
      <c r="H34" s="96" t="e">
        <f>#REF!/Mil</f>
        <v>#REF!</v>
      </c>
      <c r="I34" s="96" t="e">
        <f>#REF!/Mil</f>
        <v>#REF!</v>
      </c>
      <c r="J34" s="96" t="e">
        <f>#REF!/Mil</f>
        <v>#REF!</v>
      </c>
      <c r="K34" s="96" t="e">
        <f>#REF!/Mil</f>
        <v>#REF!</v>
      </c>
      <c r="L34" s="96" t="e">
        <f>#REF!/Mil</f>
        <v>#REF!</v>
      </c>
      <c r="M34" s="96" t="e">
        <f>#REF!/Mil</f>
        <v>#REF!</v>
      </c>
      <c r="N34" s="96" t="e">
        <f>#REF!/Mil</f>
        <v>#REF!</v>
      </c>
      <c r="O34" s="96" t="e">
        <f>#REF!/Mil</f>
        <v>#REF!</v>
      </c>
      <c r="P34" s="96" t="e">
        <f>#REF!/Mil</f>
        <v>#REF!</v>
      </c>
      <c r="Q34" s="96" t="e">
        <f>#REF!/Mil</f>
        <v>#REF!</v>
      </c>
      <c r="R34" s="96" t="e">
        <f>#REF!/Mil</f>
        <v>#REF!</v>
      </c>
      <c r="S34" s="1077" t="e">
        <f>SUM(C34:R34)</f>
        <v>#REF!</v>
      </c>
      <c r="T34" s="1078" t="e">
        <f>S34/$S$38</f>
        <v>#REF!</v>
      </c>
    </row>
    <row r="35" spans="1:20" ht="26.25" customHeight="1">
      <c r="A35" s="74">
        <f t="shared" si="4"/>
        <v>4</v>
      </c>
      <c r="B35" s="95" t="str">
        <f t="shared" si="4"/>
        <v>Administración del proyecto</v>
      </c>
      <c r="C35" s="96" t="e">
        <f>#REF!/Mil</f>
        <v>#REF!</v>
      </c>
      <c r="D35" s="96" t="e">
        <f>#REF!/Mil</f>
        <v>#REF!</v>
      </c>
      <c r="E35" s="96" t="e">
        <f>#REF!/Mil</f>
        <v>#REF!</v>
      </c>
      <c r="F35" s="96" t="e">
        <f>#REF!/Mil</f>
        <v>#REF!</v>
      </c>
      <c r="G35" s="96" t="e">
        <f>#REF!/Mil</f>
        <v>#REF!</v>
      </c>
      <c r="H35" s="96" t="e">
        <f>#REF!/Mil</f>
        <v>#REF!</v>
      </c>
      <c r="I35" s="96" t="e">
        <f>#REF!/Mil</f>
        <v>#REF!</v>
      </c>
      <c r="J35" s="96" t="e">
        <f>#REF!/Mil</f>
        <v>#REF!</v>
      </c>
      <c r="K35" s="96" t="e">
        <f>#REF!/Mil</f>
        <v>#REF!</v>
      </c>
      <c r="L35" s="96" t="e">
        <f>#REF!/Mil</f>
        <v>#REF!</v>
      </c>
      <c r="M35" s="96" t="e">
        <f>#REF!/Mil</f>
        <v>#REF!</v>
      </c>
      <c r="N35" s="96" t="e">
        <f>#REF!/Mil</f>
        <v>#REF!</v>
      </c>
      <c r="O35" s="96" t="e">
        <f>#REF!/Mil</f>
        <v>#REF!</v>
      </c>
      <c r="P35" s="96" t="e">
        <f>#REF!/Mil</f>
        <v>#REF!</v>
      </c>
      <c r="Q35" s="96" t="e">
        <f>#REF!/Mil</f>
        <v>#REF!</v>
      </c>
      <c r="R35" s="96" t="e">
        <f>#REF!/Mil</f>
        <v>#REF!</v>
      </c>
      <c r="S35" s="1077" t="e">
        <f>SUM(C35:R35)</f>
        <v>#REF!</v>
      </c>
      <c r="T35" s="1078" t="e">
        <f>S35/$S$38</f>
        <v>#REF!</v>
      </c>
    </row>
    <row r="36" spans="1:20" ht="26.25" customHeight="1">
      <c r="A36" s="74">
        <f t="shared" si="4"/>
        <v>5</v>
      </c>
      <c r="B36" s="95" t="e">
        <f t="shared" si="4"/>
        <v>#REF!</v>
      </c>
      <c r="C36" s="96" t="e">
        <f>#REF!/Mil</f>
        <v>#REF!</v>
      </c>
      <c r="D36" s="96" t="e">
        <f>#REF!/Mil</f>
        <v>#REF!</v>
      </c>
      <c r="E36" s="96" t="e">
        <f>#REF!/Mil</f>
        <v>#REF!</v>
      </c>
      <c r="F36" s="96" t="e">
        <f>#REF!/Mil</f>
        <v>#REF!</v>
      </c>
      <c r="G36" s="96" t="e">
        <f>#REF!/Mil</f>
        <v>#REF!</v>
      </c>
      <c r="H36" s="96" t="e">
        <f>#REF!/Mil</f>
        <v>#REF!</v>
      </c>
      <c r="I36" s="96" t="e">
        <f>#REF!/Mil</f>
        <v>#REF!</v>
      </c>
      <c r="J36" s="96" t="e">
        <f>#REF!/Mil</f>
        <v>#REF!</v>
      </c>
      <c r="K36" s="96" t="e">
        <f>#REF!/Mil</f>
        <v>#REF!</v>
      </c>
      <c r="L36" s="96" t="e">
        <f>#REF!/Mil</f>
        <v>#REF!</v>
      </c>
      <c r="M36" s="96" t="e">
        <f>#REF!/Mil</f>
        <v>#REF!</v>
      </c>
      <c r="N36" s="96" t="e">
        <f>#REF!/Mil</f>
        <v>#REF!</v>
      </c>
      <c r="O36" s="96" t="e">
        <f>#REF!/Mil</f>
        <v>#REF!</v>
      </c>
      <c r="P36" s="96" t="e">
        <f>#REF!/Mil</f>
        <v>#REF!</v>
      </c>
      <c r="Q36" s="96" t="e">
        <f>#REF!/Mil</f>
        <v>#REF!</v>
      </c>
      <c r="R36" s="96" t="e">
        <f>#REF!/Mil</f>
        <v>#REF!</v>
      </c>
      <c r="S36" s="1077" t="e">
        <f>SUM(C36:R36)</f>
        <v>#REF!</v>
      </c>
      <c r="T36" s="1078" t="e">
        <f>S36/$S$38</f>
        <v>#REF!</v>
      </c>
    </row>
    <row r="37" spans="1:20">
      <c r="A37" s="41"/>
      <c r="B37" s="51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1079"/>
      <c r="S37" s="1079"/>
      <c r="T37" s="98"/>
    </row>
    <row r="38" spans="1:20" ht="26.25" customHeight="1">
      <c r="A38" s="41"/>
      <c r="B38" s="1080" t="s">
        <v>490</v>
      </c>
      <c r="C38" s="1081" t="e">
        <f>SUM(C32:C36)</f>
        <v>#REF!</v>
      </c>
      <c r="D38" s="1081" t="e">
        <f t="shared" ref="D38:S38" si="5">SUM(D32:D36)</f>
        <v>#REF!</v>
      </c>
      <c r="E38" s="1081" t="e">
        <f t="shared" si="5"/>
        <v>#REF!</v>
      </c>
      <c r="F38" s="1081" t="e">
        <f t="shared" si="5"/>
        <v>#REF!</v>
      </c>
      <c r="G38" s="1081" t="e">
        <f t="shared" si="5"/>
        <v>#REF!</v>
      </c>
      <c r="H38" s="1081" t="e">
        <f t="shared" si="5"/>
        <v>#REF!</v>
      </c>
      <c r="I38" s="1081" t="e">
        <f t="shared" si="5"/>
        <v>#REF!</v>
      </c>
      <c r="J38" s="1081" t="e">
        <f t="shared" si="5"/>
        <v>#REF!</v>
      </c>
      <c r="K38" s="1081" t="e">
        <f t="shared" si="5"/>
        <v>#REF!</v>
      </c>
      <c r="L38" s="1081" t="e">
        <f t="shared" si="5"/>
        <v>#REF!</v>
      </c>
      <c r="M38" s="1081" t="e">
        <f t="shared" si="5"/>
        <v>#REF!</v>
      </c>
      <c r="N38" s="1081" t="e">
        <f t="shared" si="5"/>
        <v>#REF!</v>
      </c>
      <c r="O38" s="1081" t="e">
        <f t="shared" si="5"/>
        <v>#REF!</v>
      </c>
      <c r="P38" s="1081" t="e">
        <f t="shared" si="5"/>
        <v>#REF!</v>
      </c>
      <c r="Q38" s="1081" t="e">
        <f t="shared" si="5"/>
        <v>#REF!</v>
      </c>
      <c r="R38" s="1081" t="e">
        <f t="shared" si="5"/>
        <v>#REF!</v>
      </c>
      <c r="S38" s="1081" t="e">
        <f t="shared" si="5"/>
        <v>#REF!</v>
      </c>
      <c r="T38" s="1078" t="e">
        <f>S38/$S$38</f>
        <v>#REF!</v>
      </c>
    </row>
    <row r="39" spans="1:20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>
      <c r="A41" s="1067" t="s">
        <v>493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>
      <c r="A42" s="951" t="s">
        <v>487</v>
      </c>
      <c r="B42" s="1074" t="s">
        <v>488</v>
      </c>
      <c r="C42" s="1075" t="str">
        <f>C6</f>
        <v>Monto en miles de Soles (S/ x 1000)</v>
      </c>
      <c r="D42" s="1075"/>
      <c r="E42" s="1075"/>
      <c r="F42" s="1075"/>
      <c r="G42" s="1075"/>
      <c r="H42" s="1075"/>
      <c r="I42" s="1075"/>
      <c r="J42" s="1075"/>
      <c r="K42" s="1075"/>
      <c r="L42" s="1075"/>
      <c r="M42" s="1075"/>
      <c r="N42" s="1075"/>
      <c r="O42" s="1075"/>
      <c r="P42" s="1075"/>
      <c r="Q42" s="1075"/>
      <c r="R42" s="1075"/>
      <c r="S42" s="1074" t="s">
        <v>18</v>
      </c>
      <c r="T42" s="1074" t="s">
        <v>107</v>
      </c>
    </row>
    <row r="43" spans="1:20">
      <c r="A43" s="951"/>
      <c r="B43" s="1074"/>
      <c r="C43" s="1076" t="e">
        <f>C7</f>
        <v>#REF!</v>
      </c>
      <c r="D43" s="1076" t="e">
        <f t="shared" ref="D43:R43" si="6">D7</f>
        <v>#REF!</v>
      </c>
      <c r="E43" s="1076" t="e">
        <f t="shared" si="6"/>
        <v>#REF!</v>
      </c>
      <c r="F43" s="1076" t="e">
        <f t="shared" si="6"/>
        <v>#REF!</v>
      </c>
      <c r="G43" s="1076" t="e">
        <f t="shared" si="6"/>
        <v>#REF!</v>
      </c>
      <c r="H43" s="1076" t="e">
        <f t="shared" si="6"/>
        <v>#REF!</v>
      </c>
      <c r="I43" s="1076" t="e">
        <f t="shared" si="6"/>
        <v>#REF!</v>
      </c>
      <c r="J43" s="1076" t="e">
        <f t="shared" si="6"/>
        <v>#REF!</v>
      </c>
      <c r="K43" s="1076" t="e">
        <f t="shared" si="6"/>
        <v>#REF!</v>
      </c>
      <c r="L43" s="1076" t="e">
        <f t="shared" si="6"/>
        <v>#REF!</v>
      </c>
      <c r="M43" s="1076" t="e">
        <f t="shared" si="6"/>
        <v>#REF!</v>
      </c>
      <c r="N43" s="1076" t="e">
        <f t="shared" si="6"/>
        <v>#REF!</v>
      </c>
      <c r="O43" s="1076" t="e">
        <f t="shared" si="6"/>
        <v>#REF!</v>
      </c>
      <c r="P43" s="1076" t="e">
        <f t="shared" si="6"/>
        <v>#REF!</v>
      </c>
      <c r="Q43" s="1076" t="e">
        <f t="shared" si="6"/>
        <v>#REF!</v>
      </c>
      <c r="R43" s="1076" t="e">
        <f t="shared" si="6"/>
        <v>#REF!</v>
      </c>
      <c r="S43" s="1074"/>
      <c r="T43" s="1074"/>
    </row>
    <row r="44" spans="1:20" ht="26.25" customHeight="1">
      <c r="A44" s="74">
        <f t="shared" ref="A44:B48" si="7">A20</f>
        <v>1</v>
      </c>
      <c r="B44" s="95" t="str">
        <f t="shared" si="7"/>
        <v>Mejora del modelo de gobernanza institucional en SUNAT</v>
      </c>
      <c r="C44" s="99" t="e">
        <f t="shared" ref="C44:S44" si="8">C20*Mil</f>
        <v>#REF!</v>
      </c>
      <c r="D44" s="99" t="e">
        <f t="shared" si="8"/>
        <v>#REF!</v>
      </c>
      <c r="E44" s="99" t="e">
        <f t="shared" si="8"/>
        <v>#REF!</v>
      </c>
      <c r="F44" s="99" t="e">
        <f t="shared" si="8"/>
        <v>#REF!</v>
      </c>
      <c r="G44" s="99" t="e">
        <f t="shared" si="8"/>
        <v>#REF!</v>
      </c>
      <c r="H44" s="99" t="e">
        <f t="shared" si="8"/>
        <v>#REF!</v>
      </c>
      <c r="I44" s="99" t="e">
        <f t="shared" si="8"/>
        <v>#REF!</v>
      </c>
      <c r="J44" s="99" t="e">
        <f t="shared" si="8"/>
        <v>#REF!</v>
      </c>
      <c r="K44" s="99" t="e">
        <f t="shared" si="8"/>
        <v>#REF!</v>
      </c>
      <c r="L44" s="99" t="e">
        <f t="shared" si="8"/>
        <v>#REF!</v>
      </c>
      <c r="M44" s="99" t="e">
        <f t="shared" si="8"/>
        <v>#REF!</v>
      </c>
      <c r="N44" s="99" t="e">
        <f t="shared" si="8"/>
        <v>#REF!</v>
      </c>
      <c r="O44" s="99" t="e">
        <f t="shared" si="8"/>
        <v>#REF!</v>
      </c>
      <c r="P44" s="99" t="e">
        <f t="shared" si="8"/>
        <v>#REF!</v>
      </c>
      <c r="Q44" s="99" t="e">
        <f t="shared" si="8"/>
        <v>#REF!</v>
      </c>
      <c r="R44" s="99" t="e">
        <f t="shared" si="8"/>
        <v>#REF!</v>
      </c>
      <c r="S44" s="100" t="e">
        <f t="shared" si="8"/>
        <v>#REF!</v>
      </c>
      <c r="T44" s="1083" t="e">
        <f>T20</f>
        <v>#REF!</v>
      </c>
    </row>
    <row r="45" spans="1:20" ht="26.25" customHeight="1">
      <c r="A45" s="74">
        <f t="shared" si="7"/>
        <v>2</v>
      </c>
      <c r="B45" s="95" t="str">
        <f t="shared" si="7"/>
        <v xml:space="preserve">Mejora del control y cumplimiento tributario y aduanero </v>
      </c>
      <c r="C45" s="99" t="e">
        <f t="shared" ref="C45:S45" si="9">C21*Mil</f>
        <v>#REF!</v>
      </c>
      <c r="D45" s="99" t="e">
        <f t="shared" si="9"/>
        <v>#REF!</v>
      </c>
      <c r="E45" s="99" t="e">
        <f t="shared" si="9"/>
        <v>#REF!</v>
      </c>
      <c r="F45" s="99" t="e">
        <f t="shared" si="9"/>
        <v>#REF!</v>
      </c>
      <c r="G45" s="99" t="e">
        <f t="shared" si="9"/>
        <v>#REF!</v>
      </c>
      <c r="H45" s="99" t="e">
        <f t="shared" si="9"/>
        <v>#REF!</v>
      </c>
      <c r="I45" s="99" t="e">
        <f t="shared" si="9"/>
        <v>#REF!</v>
      </c>
      <c r="J45" s="99" t="e">
        <f t="shared" si="9"/>
        <v>#REF!</v>
      </c>
      <c r="K45" s="99" t="e">
        <f t="shared" si="9"/>
        <v>#REF!</v>
      </c>
      <c r="L45" s="99" t="e">
        <f t="shared" si="9"/>
        <v>#REF!</v>
      </c>
      <c r="M45" s="99" t="e">
        <f t="shared" si="9"/>
        <v>#REF!</v>
      </c>
      <c r="N45" s="99" t="e">
        <f t="shared" si="9"/>
        <v>#REF!</v>
      </c>
      <c r="O45" s="99" t="e">
        <f t="shared" si="9"/>
        <v>#REF!</v>
      </c>
      <c r="P45" s="99" t="e">
        <f t="shared" si="9"/>
        <v>#REF!</v>
      </c>
      <c r="Q45" s="99" t="e">
        <f t="shared" si="9"/>
        <v>#REF!</v>
      </c>
      <c r="R45" s="99" t="e">
        <f t="shared" si="9"/>
        <v>#REF!</v>
      </c>
      <c r="S45" s="100" t="e">
        <f t="shared" si="9"/>
        <v>#REF!</v>
      </c>
      <c r="T45" s="1083" t="e">
        <f>T21</f>
        <v>#REF!</v>
      </c>
    </row>
    <row r="46" spans="1:20" ht="26.25" customHeight="1">
      <c r="A46" s="74">
        <f t="shared" si="7"/>
        <v>3</v>
      </c>
      <c r="B46" s="95" t="str">
        <f t="shared" si="7"/>
        <v>Fortalecimiento de la inteligencia fiscal y de la gestión del riesgo</v>
      </c>
      <c r="C46" s="99" t="e">
        <f t="shared" ref="C46:S46" si="10">C22*Mil</f>
        <v>#REF!</v>
      </c>
      <c r="D46" s="99" t="e">
        <f t="shared" si="10"/>
        <v>#REF!</v>
      </c>
      <c r="E46" s="99" t="e">
        <f t="shared" si="10"/>
        <v>#REF!</v>
      </c>
      <c r="F46" s="99" t="e">
        <f t="shared" si="10"/>
        <v>#REF!</v>
      </c>
      <c r="G46" s="99" t="e">
        <f t="shared" si="10"/>
        <v>#REF!</v>
      </c>
      <c r="H46" s="99" t="e">
        <f t="shared" si="10"/>
        <v>#REF!</v>
      </c>
      <c r="I46" s="99" t="e">
        <f t="shared" si="10"/>
        <v>#REF!</v>
      </c>
      <c r="J46" s="99" t="e">
        <f t="shared" si="10"/>
        <v>#REF!</v>
      </c>
      <c r="K46" s="99" t="e">
        <f t="shared" si="10"/>
        <v>#REF!</v>
      </c>
      <c r="L46" s="99" t="e">
        <f t="shared" si="10"/>
        <v>#REF!</v>
      </c>
      <c r="M46" s="99" t="e">
        <f t="shared" si="10"/>
        <v>#REF!</v>
      </c>
      <c r="N46" s="99" t="e">
        <f t="shared" si="10"/>
        <v>#REF!</v>
      </c>
      <c r="O46" s="99" t="e">
        <f t="shared" si="10"/>
        <v>#REF!</v>
      </c>
      <c r="P46" s="99" t="e">
        <f t="shared" si="10"/>
        <v>#REF!</v>
      </c>
      <c r="Q46" s="99" t="e">
        <f t="shared" si="10"/>
        <v>#REF!</v>
      </c>
      <c r="R46" s="99" t="e">
        <f t="shared" si="10"/>
        <v>#REF!</v>
      </c>
      <c r="S46" s="100" t="e">
        <f t="shared" si="10"/>
        <v>#REF!</v>
      </c>
      <c r="T46" s="1083" t="e">
        <f>T22</f>
        <v>#REF!</v>
      </c>
    </row>
    <row r="47" spans="1:20" ht="26.25" customHeight="1">
      <c r="A47" s="74">
        <f t="shared" si="7"/>
        <v>4</v>
      </c>
      <c r="B47" s="95" t="str">
        <f t="shared" si="7"/>
        <v>Administración del proyecto</v>
      </c>
      <c r="C47" s="99" t="e">
        <f t="shared" ref="C47:S47" si="11">C23*Mil</f>
        <v>#REF!</v>
      </c>
      <c r="D47" s="99" t="e">
        <f t="shared" si="11"/>
        <v>#REF!</v>
      </c>
      <c r="E47" s="99" t="e">
        <f t="shared" si="11"/>
        <v>#REF!</v>
      </c>
      <c r="F47" s="99" t="e">
        <f t="shared" si="11"/>
        <v>#REF!</v>
      </c>
      <c r="G47" s="99" t="e">
        <f t="shared" si="11"/>
        <v>#REF!</v>
      </c>
      <c r="H47" s="99" t="e">
        <f t="shared" si="11"/>
        <v>#REF!</v>
      </c>
      <c r="I47" s="99" t="e">
        <f t="shared" si="11"/>
        <v>#REF!</v>
      </c>
      <c r="J47" s="99" t="e">
        <f t="shared" si="11"/>
        <v>#REF!</v>
      </c>
      <c r="K47" s="99" t="e">
        <f t="shared" si="11"/>
        <v>#REF!</v>
      </c>
      <c r="L47" s="99" t="e">
        <f t="shared" si="11"/>
        <v>#REF!</v>
      </c>
      <c r="M47" s="99" t="e">
        <f t="shared" si="11"/>
        <v>#REF!</v>
      </c>
      <c r="N47" s="99" t="e">
        <f t="shared" si="11"/>
        <v>#REF!</v>
      </c>
      <c r="O47" s="99" t="e">
        <f t="shared" si="11"/>
        <v>#REF!</v>
      </c>
      <c r="P47" s="99" t="e">
        <f t="shared" si="11"/>
        <v>#REF!</v>
      </c>
      <c r="Q47" s="99" t="e">
        <f t="shared" si="11"/>
        <v>#REF!</v>
      </c>
      <c r="R47" s="99" t="e">
        <f t="shared" si="11"/>
        <v>#REF!</v>
      </c>
      <c r="S47" s="100" t="e">
        <f t="shared" si="11"/>
        <v>#REF!</v>
      </c>
      <c r="T47" s="1083" t="e">
        <f>T23</f>
        <v>#REF!</v>
      </c>
    </row>
    <row r="48" spans="1:20" ht="26.25" customHeight="1">
      <c r="A48" s="74">
        <f t="shared" si="7"/>
        <v>5</v>
      </c>
      <c r="B48" s="95" t="e">
        <f t="shared" si="7"/>
        <v>#REF!</v>
      </c>
      <c r="C48" s="99" t="e">
        <f t="shared" ref="C48:S48" si="12">C24*Mil</f>
        <v>#REF!</v>
      </c>
      <c r="D48" s="99" t="e">
        <f t="shared" si="12"/>
        <v>#REF!</v>
      </c>
      <c r="E48" s="99" t="e">
        <f t="shared" si="12"/>
        <v>#REF!</v>
      </c>
      <c r="F48" s="99" t="e">
        <f t="shared" si="12"/>
        <v>#REF!</v>
      </c>
      <c r="G48" s="99" t="e">
        <f t="shared" si="12"/>
        <v>#REF!</v>
      </c>
      <c r="H48" s="99" t="e">
        <f t="shared" si="12"/>
        <v>#REF!</v>
      </c>
      <c r="I48" s="99" t="e">
        <f t="shared" si="12"/>
        <v>#REF!</v>
      </c>
      <c r="J48" s="99" t="e">
        <f t="shared" si="12"/>
        <v>#REF!</v>
      </c>
      <c r="K48" s="99" t="e">
        <f t="shared" si="12"/>
        <v>#REF!</v>
      </c>
      <c r="L48" s="99" t="e">
        <f t="shared" si="12"/>
        <v>#REF!</v>
      </c>
      <c r="M48" s="99" t="e">
        <f t="shared" si="12"/>
        <v>#REF!</v>
      </c>
      <c r="N48" s="99" t="e">
        <f t="shared" si="12"/>
        <v>#REF!</v>
      </c>
      <c r="O48" s="99" t="e">
        <f t="shared" si="12"/>
        <v>#REF!</v>
      </c>
      <c r="P48" s="99" t="e">
        <f t="shared" si="12"/>
        <v>#REF!</v>
      </c>
      <c r="Q48" s="99" t="e">
        <f t="shared" si="12"/>
        <v>#REF!</v>
      </c>
      <c r="R48" s="99" t="e">
        <f t="shared" si="12"/>
        <v>#REF!</v>
      </c>
      <c r="S48" s="100" t="e">
        <f t="shared" si="12"/>
        <v>#REF!</v>
      </c>
      <c r="T48" s="1083" t="e">
        <f>T24</f>
        <v>#REF!</v>
      </c>
    </row>
    <row r="49" spans="1:20">
      <c r="A49" s="41"/>
      <c r="B49" s="51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3"/>
      <c r="S49" s="103"/>
      <c r="T49" s="104"/>
    </row>
    <row r="50" spans="1:20" ht="26.25" customHeight="1">
      <c r="A50" s="41"/>
      <c r="B50" s="1080" t="s">
        <v>490</v>
      </c>
      <c r="C50" s="99" t="e">
        <f t="shared" ref="C50:S50" si="13">C26*Mil</f>
        <v>#REF!</v>
      </c>
      <c r="D50" s="99" t="e">
        <f t="shared" si="13"/>
        <v>#REF!</v>
      </c>
      <c r="E50" s="99" t="e">
        <f t="shared" si="13"/>
        <v>#REF!</v>
      </c>
      <c r="F50" s="99" t="e">
        <f t="shared" si="13"/>
        <v>#REF!</v>
      </c>
      <c r="G50" s="99" t="e">
        <f t="shared" si="13"/>
        <v>#REF!</v>
      </c>
      <c r="H50" s="99" t="e">
        <f t="shared" si="13"/>
        <v>#REF!</v>
      </c>
      <c r="I50" s="99" t="e">
        <f t="shared" si="13"/>
        <v>#REF!</v>
      </c>
      <c r="J50" s="99" t="e">
        <f t="shared" si="13"/>
        <v>#REF!</v>
      </c>
      <c r="K50" s="99" t="e">
        <f t="shared" si="13"/>
        <v>#REF!</v>
      </c>
      <c r="L50" s="99" t="e">
        <f t="shared" si="13"/>
        <v>#REF!</v>
      </c>
      <c r="M50" s="99" t="e">
        <f t="shared" si="13"/>
        <v>#REF!</v>
      </c>
      <c r="N50" s="99" t="e">
        <f t="shared" si="13"/>
        <v>#REF!</v>
      </c>
      <c r="O50" s="99" t="e">
        <f t="shared" si="13"/>
        <v>#REF!</v>
      </c>
      <c r="P50" s="99" t="e">
        <f t="shared" si="13"/>
        <v>#REF!</v>
      </c>
      <c r="Q50" s="99" t="e">
        <f t="shared" si="13"/>
        <v>#REF!</v>
      </c>
      <c r="R50" s="99" t="e">
        <f t="shared" si="13"/>
        <v>#REF!</v>
      </c>
      <c r="S50" s="100" t="e">
        <f t="shared" si="13"/>
        <v>#REF!</v>
      </c>
      <c r="T50" s="1083" t="e">
        <f>T26</f>
        <v>#REF!</v>
      </c>
    </row>
    <row r="51" spans="1:20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>
      <c r="A53" s="1067" t="s">
        <v>494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>
      <c r="A54" s="951" t="s">
        <v>487</v>
      </c>
      <c r="B54" s="1074" t="s">
        <v>488</v>
      </c>
      <c r="C54" s="1075" t="str">
        <f>C6</f>
        <v>Monto en miles de Soles (S/ x 1000)</v>
      </c>
      <c r="D54" s="1075"/>
      <c r="E54" s="1075"/>
      <c r="F54" s="1075"/>
      <c r="G54" s="1075"/>
      <c r="H54" s="1075"/>
      <c r="I54" s="1075"/>
      <c r="J54" s="1075"/>
      <c r="K54" s="1075"/>
      <c r="L54" s="1075"/>
      <c r="M54" s="1075"/>
      <c r="N54" s="1075"/>
      <c r="O54" s="1075"/>
      <c r="P54" s="1075"/>
      <c r="Q54" s="1075"/>
      <c r="R54" s="1075"/>
      <c r="S54" s="1074" t="s">
        <v>18</v>
      </c>
      <c r="T54" s="1074" t="s">
        <v>107</v>
      </c>
    </row>
    <row r="55" spans="1:20">
      <c r="A55" s="951"/>
      <c r="B55" s="1074"/>
      <c r="C55" s="1076" t="e">
        <f>C7</f>
        <v>#REF!</v>
      </c>
      <c r="D55" s="1076" t="e">
        <f t="shared" ref="D55:R55" si="14">D7</f>
        <v>#REF!</v>
      </c>
      <c r="E55" s="1076" t="e">
        <f t="shared" si="14"/>
        <v>#REF!</v>
      </c>
      <c r="F55" s="1076" t="e">
        <f t="shared" si="14"/>
        <v>#REF!</v>
      </c>
      <c r="G55" s="1076" t="e">
        <f t="shared" si="14"/>
        <v>#REF!</v>
      </c>
      <c r="H55" s="1076" t="e">
        <f t="shared" si="14"/>
        <v>#REF!</v>
      </c>
      <c r="I55" s="1076" t="e">
        <f t="shared" si="14"/>
        <v>#REF!</v>
      </c>
      <c r="J55" s="1076" t="e">
        <f t="shared" si="14"/>
        <v>#REF!</v>
      </c>
      <c r="K55" s="1076" t="e">
        <f t="shared" si="14"/>
        <v>#REF!</v>
      </c>
      <c r="L55" s="1076" t="e">
        <f t="shared" si="14"/>
        <v>#REF!</v>
      </c>
      <c r="M55" s="1076" t="e">
        <f t="shared" si="14"/>
        <v>#REF!</v>
      </c>
      <c r="N55" s="1076" t="e">
        <f t="shared" si="14"/>
        <v>#REF!</v>
      </c>
      <c r="O55" s="1076" t="e">
        <f t="shared" si="14"/>
        <v>#REF!</v>
      </c>
      <c r="P55" s="1076" t="e">
        <f t="shared" si="14"/>
        <v>#REF!</v>
      </c>
      <c r="Q55" s="1076" t="e">
        <f t="shared" si="14"/>
        <v>#REF!</v>
      </c>
      <c r="R55" s="1076" t="e">
        <f t="shared" si="14"/>
        <v>#REF!</v>
      </c>
      <c r="S55" s="1074"/>
      <c r="T55" s="1074"/>
    </row>
    <row r="56" spans="1:20" ht="26.25" customHeight="1">
      <c r="A56" s="74">
        <f>A32</f>
        <v>1</v>
      </c>
      <c r="B56" s="95" t="str">
        <f>B44</f>
        <v>Mejora del modelo de gobernanza institucional en SUNAT</v>
      </c>
      <c r="C56" s="99" t="e">
        <f t="shared" ref="C56:S56" si="15">C32*Mil</f>
        <v>#REF!</v>
      </c>
      <c r="D56" s="99" t="e">
        <f t="shared" si="15"/>
        <v>#REF!</v>
      </c>
      <c r="E56" s="99" t="e">
        <f t="shared" si="15"/>
        <v>#REF!</v>
      </c>
      <c r="F56" s="99" t="e">
        <f t="shared" si="15"/>
        <v>#REF!</v>
      </c>
      <c r="G56" s="99" t="e">
        <f t="shared" si="15"/>
        <v>#REF!</v>
      </c>
      <c r="H56" s="99" t="e">
        <f t="shared" si="15"/>
        <v>#REF!</v>
      </c>
      <c r="I56" s="99" t="e">
        <f t="shared" si="15"/>
        <v>#REF!</v>
      </c>
      <c r="J56" s="99" t="e">
        <f t="shared" si="15"/>
        <v>#REF!</v>
      </c>
      <c r="K56" s="99" t="e">
        <f t="shared" si="15"/>
        <v>#REF!</v>
      </c>
      <c r="L56" s="99" t="e">
        <f t="shared" si="15"/>
        <v>#REF!</v>
      </c>
      <c r="M56" s="99" t="e">
        <f t="shared" si="15"/>
        <v>#REF!</v>
      </c>
      <c r="N56" s="99" t="e">
        <f t="shared" si="15"/>
        <v>#REF!</v>
      </c>
      <c r="O56" s="99" t="e">
        <f t="shared" si="15"/>
        <v>#REF!</v>
      </c>
      <c r="P56" s="99" t="e">
        <f t="shared" si="15"/>
        <v>#REF!</v>
      </c>
      <c r="Q56" s="99" t="e">
        <f t="shared" si="15"/>
        <v>#REF!</v>
      </c>
      <c r="R56" s="99" t="e">
        <f t="shared" si="15"/>
        <v>#REF!</v>
      </c>
      <c r="S56" s="100" t="e">
        <f t="shared" si="15"/>
        <v>#REF!</v>
      </c>
      <c r="T56" s="1083" t="e">
        <f>T32</f>
        <v>#REF!</v>
      </c>
    </row>
    <row r="57" spans="1:20" ht="26.25" customHeight="1">
      <c r="A57" s="74">
        <f>A33</f>
        <v>2</v>
      </c>
      <c r="B57" s="95" t="str">
        <f>B45</f>
        <v xml:space="preserve">Mejora del control y cumplimiento tributario y aduanero </v>
      </c>
      <c r="C57" s="99" t="e">
        <f t="shared" ref="C57:S57" si="16">C33*Mil</f>
        <v>#REF!</v>
      </c>
      <c r="D57" s="99" t="e">
        <f t="shared" si="16"/>
        <v>#REF!</v>
      </c>
      <c r="E57" s="99" t="e">
        <f t="shared" si="16"/>
        <v>#REF!</v>
      </c>
      <c r="F57" s="99" t="e">
        <f t="shared" si="16"/>
        <v>#REF!</v>
      </c>
      <c r="G57" s="99" t="e">
        <f t="shared" si="16"/>
        <v>#REF!</v>
      </c>
      <c r="H57" s="99" t="e">
        <f t="shared" si="16"/>
        <v>#REF!</v>
      </c>
      <c r="I57" s="99" t="e">
        <f t="shared" si="16"/>
        <v>#REF!</v>
      </c>
      <c r="J57" s="99" t="e">
        <f t="shared" si="16"/>
        <v>#REF!</v>
      </c>
      <c r="K57" s="99" t="e">
        <f t="shared" si="16"/>
        <v>#REF!</v>
      </c>
      <c r="L57" s="99" t="e">
        <f t="shared" si="16"/>
        <v>#REF!</v>
      </c>
      <c r="M57" s="99" t="e">
        <f t="shared" si="16"/>
        <v>#REF!</v>
      </c>
      <c r="N57" s="99" t="e">
        <f t="shared" si="16"/>
        <v>#REF!</v>
      </c>
      <c r="O57" s="99" t="e">
        <f t="shared" si="16"/>
        <v>#REF!</v>
      </c>
      <c r="P57" s="99" t="e">
        <f t="shared" si="16"/>
        <v>#REF!</v>
      </c>
      <c r="Q57" s="99" t="e">
        <f t="shared" si="16"/>
        <v>#REF!</v>
      </c>
      <c r="R57" s="99" t="e">
        <f t="shared" si="16"/>
        <v>#REF!</v>
      </c>
      <c r="S57" s="100" t="e">
        <f t="shared" si="16"/>
        <v>#REF!</v>
      </c>
      <c r="T57" s="1083" t="e">
        <f>T33</f>
        <v>#REF!</v>
      </c>
    </row>
    <row r="58" spans="1:20" ht="26.25" customHeight="1">
      <c r="A58" s="74">
        <f>A34</f>
        <v>3</v>
      </c>
      <c r="B58" s="95" t="str">
        <f>B46</f>
        <v>Fortalecimiento de la inteligencia fiscal y de la gestión del riesgo</v>
      </c>
      <c r="C58" s="99" t="e">
        <f t="shared" ref="C58:S58" si="17">C34*Mil</f>
        <v>#REF!</v>
      </c>
      <c r="D58" s="99" t="e">
        <f t="shared" si="17"/>
        <v>#REF!</v>
      </c>
      <c r="E58" s="99" t="e">
        <f t="shared" si="17"/>
        <v>#REF!</v>
      </c>
      <c r="F58" s="99" t="e">
        <f t="shared" si="17"/>
        <v>#REF!</v>
      </c>
      <c r="G58" s="99" t="e">
        <f t="shared" si="17"/>
        <v>#REF!</v>
      </c>
      <c r="H58" s="99" t="e">
        <f t="shared" si="17"/>
        <v>#REF!</v>
      </c>
      <c r="I58" s="99" t="e">
        <f t="shared" si="17"/>
        <v>#REF!</v>
      </c>
      <c r="J58" s="99" t="e">
        <f t="shared" si="17"/>
        <v>#REF!</v>
      </c>
      <c r="K58" s="99" t="e">
        <f t="shared" si="17"/>
        <v>#REF!</v>
      </c>
      <c r="L58" s="99" t="e">
        <f t="shared" si="17"/>
        <v>#REF!</v>
      </c>
      <c r="M58" s="99" t="e">
        <f t="shared" si="17"/>
        <v>#REF!</v>
      </c>
      <c r="N58" s="99" t="e">
        <f t="shared" si="17"/>
        <v>#REF!</v>
      </c>
      <c r="O58" s="99" t="e">
        <f t="shared" si="17"/>
        <v>#REF!</v>
      </c>
      <c r="P58" s="99" t="e">
        <f t="shared" si="17"/>
        <v>#REF!</v>
      </c>
      <c r="Q58" s="99" t="e">
        <f t="shared" si="17"/>
        <v>#REF!</v>
      </c>
      <c r="R58" s="99" t="e">
        <f t="shared" si="17"/>
        <v>#REF!</v>
      </c>
      <c r="S58" s="100" t="e">
        <f t="shared" si="17"/>
        <v>#REF!</v>
      </c>
      <c r="T58" s="1083" t="e">
        <f>T34</f>
        <v>#REF!</v>
      </c>
    </row>
    <row r="59" spans="1:20" ht="26.25" customHeight="1">
      <c r="A59" s="74">
        <f>A35</f>
        <v>4</v>
      </c>
      <c r="B59" s="95" t="str">
        <f>B47</f>
        <v>Administración del proyecto</v>
      </c>
      <c r="C59" s="99" t="e">
        <f t="shared" ref="C59:S59" si="18">C35*Mil</f>
        <v>#REF!</v>
      </c>
      <c r="D59" s="99" t="e">
        <f t="shared" si="18"/>
        <v>#REF!</v>
      </c>
      <c r="E59" s="99" t="e">
        <f t="shared" si="18"/>
        <v>#REF!</v>
      </c>
      <c r="F59" s="99" t="e">
        <f t="shared" si="18"/>
        <v>#REF!</v>
      </c>
      <c r="G59" s="99" t="e">
        <f t="shared" si="18"/>
        <v>#REF!</v>
      </c>
      <c r="H59" s="99" t="e">
        <f t="shared" si="18"/>
        <v>#REF!</v>
      </c>
      <c r="I59" s="99" t="e">
        <f t="shared" si="18"/>
        <v>#REF!</v>
      </c>
      <c r="J59" s="99" t="e">
        <f t="shared" si="18"/>
        <v>#REF!</v>
      </c>
      <c r="K59" s="99" t="e">
        <f t="shared" si="18"/>
        <v>#REF!</v>
      </c>
      <c r="L59" s="99" t="e">
        <f t="shared" si="18"/>
        <v>#REF!</v>
      </c>
      <c r="M59" s="99" t="e">
        <f t="shared" si="18"/>
        <v>#REF!</v>
      </c>
      <c r="N59" s="99" t="e">
        <f t="shared" si="18"/>
        <v>#REF!</v>
      </c>
      <c r="O59" s="99" t="e">
        <f t="shared" si="18"/>
        <v>#REF!</v>
      </c>
      <c r="P59" s="99" t="e">
        <f t="shared" si="18"/>
        <v>#REF!</v>
      </c>
      <c r="Q59" s="99" t="e">
        <f t="shared" si="18"/>
        <v>#REF!</v>
      </c>
      <c r="R59" s="99" t="e">
        <f t="shared" si="18"/>
        <v>#REF!</v>
      </c>
      <c r="S59" s="100" t="e">
        <f t="shared" si="18"/>
        <v>#REF!</v>
      </c>
      <c r="T59" s="1083" t="e">
        <f>T35</f>
        <v>#REF!</v>
      </c>
    </row>
    <row r="60" spans="1:20" ht="26.25" customHeight="1">
      <c r="A60" s="74">
        <f>A36</f>
        <v>5</v>
      </c>
      <c r="B60" s="95" t="e">
        <f>B48</f>
        <v>#REF!</v>
      </c>
      <c r="C60" s="99" t="e">
        <f t="shared" ref="C60:S60" si="19">C36*Mil</f>
        <v>#REF!</v>
      </c>
      <c r="D60" s="99" t="e">
        <f t="shared" si="19"/>
        <v>#REF!</v>
      </c>
      <c r="E60" s="99" t="e">
        <f t="shared" si="19"/>
        <v>#REF!</v>
      </c>
      <c r="F60" s="99" t="e">
        <f t="shared" si="19"/>
        <v>#REF!</v>
      </c>
      <c r="G60" s="99" t="e">
        <f t="shared" si="19"/>
        <v>#REF!</v>
      </c>
      <c r="H60" s="99" t="e">
        <f t="shared" si="19"/>
        <v>#REF!</v>
      </c>
      <c r="I60" s="99" t="e">
        <f t="shared" si="19"/>
        <v>#REF!</v>
      </c>
      <c r="J60" s="99" t="e">
        <f t="shared" si="19"/>
        <v>#REF!</v>
      </c>
      <c r="K60" s="99" t="e">
        <f t="shared" si="19"/>
        <v>#REF!</v>
      </c>
      <c r="L60" s="99" t="e">
        <f t="shared" si="19"/>
        <v>#REF!</v>
      </c>
      <c r="M60" s="99" t="e">
        <f t="shared" si="19"/>
        <v>#REF!</v>
      </c>
      <c r="N60" s="99" t="e">
        <f t="shared" si="19"/>
        <v>#REF!</v>
      </c>
      <c r="O60" s="99" t="e">
        <f t="shared" si="19"/>
        <v>#REF!</v>
      </c>
      <c r="P60" s="99" t="e">
        <f t="shared" si="19"/>
        <v>#REF!</v>
      </c>
      <c r="Q60" s="99" t="e">
        <f t="shared" si="19"/>
        <v>#REF!</v>
      </c>
      <c r="R60" s="99" t="e">
        <f t="shared" si="19"/>
        <v>#REF!</v>
      </c>
      <c r="S60" s="100" t="e">
        <f t="shared" si="19"/>
        <v>#REF!</v>
      </c>
      <c r="T60" s="1083" t="e">
        <f>T36</f>
        <v>#REF!</v>
      </c>
    </row>
    <row r="61" spans="1:20">
      <c r="A61" s="41"/>
      <c r="B61" s="51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7"/>
      <c r="S61" s="107"/>
      <c r="T61" s="104"/>
    </row>
    <row r="62" spans="1:20" ht="26.25" customHeight="1">
      <c r="A62" s="41"/>
      <c r="B62" s="1080" t="s">
        <v>490</v>
      </c>
      <c r="C62" s="108" t="e">
        <f t="shared" ref="C62:S62" si="20">C38*Mil</f>
        <v>#REF!</v>
      </c>
      <c r="D62" s="108" t="e">
        <f t="shared" si="20"/>
        <v>#REF!</v>
      </c>
      <c r="E62" s="108" t="e">
        <f t="shared" si="20"/>
        <v>#REF!</v>
      </c>
      <c r="F62" s="108" t="e">
        <f t="shared" si="20"/>
        <v>#REF!</v>
      </c>
      <c r="G62" s="108" t="e">
        <f t="shared" si="20"/>
        <v>#REF!</v>
      </c>
      <c r="H62" s="108" t="e">
        <f t="shared" si="20"/>
        <v>#REF!</v>
      </c>
      <c r="I62" s="108" t="e">
        <f t="shared" si="20"/>
        <v>#REF!</v>
      </c>
      <c r="J62" s="108" t="e">
        <f t="shared" si="20"/>
        <v>#REF!</v>
      </c>
      <c r="K62" s="108" t="e">
        <f t="shared" si="20"/>
        <v>#REF!</v>
      </c>
      <c r="L62" s="108" t="e">
        <f t="shared" si="20"/>
        <v>#REF!</v>
      </c>
      <c r="M62" s="108" t="e">
        <f t="shared" si="20"/>
        <v>#REF!</v>
      </c>
      <c r="N62" s="108" t="e">
        <f t="shared" si="20"/>
        <v>#REF!</v>
      </c>
      <c r="O62" s="108" t="e">
        <f t="shared" si="20"/>
        <v>#REF!</v>
      </c>
      <c r="P62" s="108" t="e">
        <f t="shared" si="20"/>
        <v>#REF!</v>
      </c>
      <c r="Q62" s="108" t="e">
        <f t="shared" si="20"/>
        <v>#REF!</v>
      </c>
      <c r="R62" s="108" t="e">
        <f t="shared" si="20"/>
        <v>#REF!</v>
      </c>
      <c r="S62" s="105" t="e">
        <f t="shared" si="20"/>
        <v>#REF!</v>
      </c>
      <c r="T62" s="1084" t="e">
        <f>T38</f>
        <v>#REF!</v>
      </c>
    </row>
  </sheetData>
  <mergeCells count="27">
    <mergeCell ref="A54:A55"/>
    <mergeCell ref="B54:B55"/>
    <mergeCell ref="C54:R54"/>
    <mergeCell ref="T54:T55"/>
    <mergeCell ref="S54:S55"/>
    <mergeCell ref="A42:A43"/>
    <mergeCell ref="B42:B43"/>
    <mergeCell ref="C42:R42"/>
    <mergeCell ref="T42:T43"/>
    <mergeCell ref="S42:S43"/>
    <mergeCell ref="A30:A31"/>
    <mergeCell ref="B30:B31"/>
    <mergeCell ref="C30:R30"/>
    <mergeCell ref="C18:R18"/>
    <mergeCell ref="T30:T31"/>
    <mergeCell ref="S30:S31"/>
    <mergeCell ref="V18:V19"/>
    <mergeCell ref="A2:J2"/>
    <mergeCell ref="A6:A7"/>
    <mergeCell ref="B6:B7"/>
    <mergeCell ref="C6:R6"/>
    <mergeCell ref="T6:T7"/>
    <mergeCell ref="A18:A19"/>
    <mergeCell ref="B18:B19"/>
    <mergeCell ref="S6:S7"/>
    <mergeCell ref="S18:S19"/>
    <mergeCell ref="T18:T19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23">
    <outlinePr summaryBelow="0"/>
    <pageSetUpPr fitToPage="1"/>
  </sheetPr>
  <dimension ref="A1:AG99"/>
  <sheetViews>
    <sheetView topLeftCell="A62" workbookViewId="0">
      <selection activeCell="K91" sqref="K91"/>
    </sheetView>
  </sheetViews>
  <sheetFormatPr defaultColWidth="10.7109375" defaultRowHeight="13.15" outlineLevelRow="3" outlineLevelCol="3"/>
  <cols>
    <col min="1" max="1" width="6.7109375" customWidth="1"/>
    <col min="2" max="2" width="76.140625" customWidth="1"/>
    <col min="3" max="3" width="14.85546875" customWidth="1" outlineLevel="2"/>
    <col min="4" max="4" width="11.42578125" style="9" customWidth="1" outlineLevel="2"/>
    <col min="5" max="5" width="14.85546875" customWidth="1" outlineLevel="2"/>
    <col min="6" max="6" width="11.42578125" customWidth="1" outlineLevel="3"/>
    <col min="7" max="7" width="3.28515625" customWidth="1" outlineLevel="1"/>
    <col min="8" max="8" width="13.42578125" customWidth="1" outlineLevel="1"/>
    <col min="9" max="9" width="2.7109375" customWidth="1" outlineLevel="1"/>
    <col min="10" max="11" width="14.85546875" customWidth="1"/>
    <col min="12" max="14" width="0" hidden="1" customWidth="1" outlineLevel="1"/>
    <col min="15" max="15" width="1.42578125" customWidth="1" collapsed="1"/>
    <col min="16" max="17" width="14.85546875" customWidth="1"/>
    <col min="18" max="20" width="0" hidden="1" customWidth="1" outlineLevel="1"/>
    <col min="21" max="21" width="3.28515625" style="23" customWidth="1" collapsed="1"/>
  </cols>
  <sheetData>
    <row r="1" spans="1:33">
      <c r="A1" s="23"/>
      <c r="B1" s="23"/>
      <c r="C1" s="23"/>
      <c r="D1" s="52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760"/>
    </row>
    <row r="2" spans="1:33" ht="21">
      <c r="A2" s="953" t="s">
        <v>500</v>
      </c>
      <c r="B2" s="953"/>
      <c r="C2" s="953"/>
      <c r="D2" s="953"/>
      <c r="E2" s="953"/>
      <c r="F2" s="95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760"/>
    </row>
    <row r="3" spans="1:33">
      <c r="A3" s="23"/>
      <c r="B3" s="23"/>
      <c r="C3" s="1085" t="s">
        <v>501</v>
      </c>
      <c r="D3" s="52"/>
      <c r="E3" s="23"/>
      <c r="F3" s="23"/>
      <c r="G3" s="23"/>
      <c r="H3" s="1085" t="s">
        <v>502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V3" s="1085" t="s">
        <v>502</v>
      </c>
      <c r="W3" s="23"/>
      <c r="X3" s="23"/>
      <c r="Y3" s="23"/>
      <c r="Z3" s="23"/>
      <c r="AA3" s="23"/>
      <c r="AB3" s="23"/>
      <c r="AC3" s="23"/>
      <c r="AD3" s="23"/>
      <c r="AE3" s="23"/>
      <c r="AF3" s="23"/>
      <c r="AG3" s="760"/>
    </row>
    <row r="4" spans="1:33">
      <c r="A4" s="23"/>
      <c r="B4" s="1085" t="s">
        <v>503</v>
      </c>
      <c r="C4" s="116">
        <v>2</v>
      </c>
      <c r="D4" s="52"/>
      <c r="E4" s="23"/>
      <c r="F4" s="23"/>
      <c r="G4" s="23"/>
      <c r="H4" s="1085" t="e">
        <f>Strategy</f>
        <v>#REF!</v>
      </c>
      <c r="I4" s="23"/>
      <c r="J4" s="23" t="s">
        <v>504</v>
      </c>
      <c r="K4" s="23"/>
      <c r="L4" s="23"/>
      <c r="M4" s="23"/>
      <c r="N4" s="23"/>
      <c r="O4" s="23"/>
      <c r="P4" s="23" t="s">
        <v>505</v>
      </c>
      <c r="Q4" s="23"/>
      <c r="R4" s="23"/>
      <c r="S4" s="23"/>
      <c r="T4" s="23"/>
      <c r="V4" s="1085" t="e">
        <f>Strategy</f>
        <v>#REF!</v>
      </c>
      <c r="W4" s="23"/>
      <c r="X4" s="23"/>
      <c r="Y4" s="23"/>
      <c r="Z4" s="23"/>
      <c r="AA4" s="23"/>
      <c r="AB4" s="23"/>
      <c r="AC4" s="23"/>
      <c r="AD4" s="23"/>
      <c r="AE4" s="23"/>
      <c r="AF4" s="23"/>
      <c r="AG4" s="760"/>
    </row>
    <row r="5" spans="1:33">
      <c r="A5" s="23"/>
      <c r="B5" s="23"/>
      <c r="C5" s="23"/>
      <c r="D5" s="52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760"/>
    </row>
    <row r="6" spans="1:33" ht="12.75" customHeight="1">
      <c r="A6" s="1086" t="s">
        <v>487</v>
      </c>
      <c r="B6" s="1086" t="s">
        <v>506</v>
      </c>
      <c r="C6" s="1087" t="s">
        <v>507</v>
      </c>
      <c r="D6" s="1088"/>
      <c r="E6" s="1089"/>
      <c r="F6" s="1086" t="s">
        <v>508</v>
      </c>
      <c r="G6" s="23"/>
      <c r="H6" s="1090" t="s">
        <v>509</v>
      </c>
      <c r="I6" s="23"/>
      <c r="J6" s="1086" t="s">
        <v>510</v>
      </c>
      <c r="K6" s="1086"/>
      <c r="L6" s="1086"/>
      <c r="M6" s="1086"/>
      <c r="N6" s="1086"/>
      <c r="O6" s="118"/>
      <c r="P6" s="1086" t="s">
        <v>510</v>
      </c>
      <c r="Q6" s="1086"/>
      <c r="R6" s="1086"/>
      <c r="S6" s="1086"/>
      <c r="T6" s="1086"/>
      <c r="U6" s="46"/>
      <c r="V6" s="1091" t="s">
        <v>511</v>
      </c>
      <c r="W6" s="1092"/>
      <c r="X6" s="1092"/>
      <c r="Y6" s="1092"/>
      <c r="Z6" s="1092"/>
      <c r="AA6" s="1092"/>
      <c r="AB6" s="1092"/>
      <c r="AC6" s="1092"/>
      <c r="AD6" s="1092"/>
      <c r="AE6" s="1092"/>
      <c r="AF6" s="1093"/>
      <c r="AG6" s="1094" t="s">
        <v>18</v>
      </c>
    </row>
    <row r="7" spans="1:33" ht="26.45">
      <c r="A7" s="1086"/>
      <c r="B7" s="1086"/>
      <c r="C7" s="1095" t="s">
        <v>504</v>
      </c>
      <c r="D7" s="1095" t="s">
        <v>512</v>
      </c>
      <c r="E7" s="1095" t="s">
        <v>505</v>
      </c>
      <c r="F7" s="1086"/>
      <c r="G7" s="23"/>
      <c r="H7" s="1090"/>
      <c r="I7" s="23"/>
      <c r="J7" s="1096">
        <v>1</v>
      </c>
      <c r="K7" s="1096">
        <v>2</v>
      </c>
      <c r="L7" s="1096">
        <v>3</v>
      </c>
      <c r="M7" s="1096">
        <v>4</v>
      </c>
      <c r="N7" s="1096">
        <v>5</v>
      </c>
      <c r="O7" s="118"/>
      <c r="P7" s="1096">
        <v>1</v>
      </c>
      <c r="Q7" s="1096">
        <v>2</v>
      </c>
      <c r="R7" s="1096">
        <v>3</v>
      </c>
      <c r="S7" s="1096">
        <v>4</v>
      </c>
      <c r="T7" s="1096">
        <v>5</v>
      </c>
      <c r="V7" s="1097" t="e">
        <f>#REF!</f>
        <v>#REF!</v>
      </c>
      <c r="W7" s="1097" t="e">
        <f>#REF!</f>
        <v>#REF!</v>
      </c>
      <c r="X7" s="1097" t="e">
        <f>#REF!</f>
        <v>#REF!</v>
      </c>
      <c r="Y7" s="1097" t="e">
        <f>#REF!</f>
        <v>#REF!</v>
      </c>
      <c r="Z7" s="1097" t="e">
        <f>#REF!</f>
        <v>#REF!</v>
      </c>
      <c r="AA7" s="1097" t="e">
        <f>#REF!</f>
        <v>#REF!</v>
      </c>
      <c r="AB7" s="1097" t="e">
        <f>#REF!</f>
        <v>#REF!</v>
      </c>
      <c r="AC7" s="1097" t="e">
        <f>#REF!</f>
        <v>#REF!</v>
      </c>
      <c r="AD7" s="1097" t="e">
        <f>#REF!</f>
        <v>#REF!</v>
      </c>
      <c r="AE7" s="1097" t="e">
        <f>#REF!</f>
        <v>#REF!</v>
      </c>
      <c r="AF7" s="1097" t="e">
        <f>#REF!</f>
        <v>#REF!</v>
      </c>
      <c r="AG7" s="1094"/>
    </row>
    <row r="8" spans="1:33" ht="18.75" customHeight="1">
      <c r="A8" s="1080" t="e">
        <f>#REF!</f>
        <v>#REF!</v>
      </c>
      <c r="B8" s="1098" t="e">
        <f>#REF!</f>
        <v>#REF!</v>
      </c>
      <c r="C8" s="1099">
        <f t="shared" ref="C8:C50" si="0">CHOOSE(Muestra_Alt,J8,K8,L8,M8,N8)</f>
        <v>214445581.43176711</v>
      </c>
      <c r="D8" s="1100">
        <f>IF(C8=0,"n/d",E8/C8)</f>
        <v>0.783197636431615</v>
      </c>
      <c r="E8" s="1099">
        <f t="shared" ref="E8:E50" si="1">CHOOSE(Muestra_Alt,P8,Q8,R8,S8,T8)</f>
        <v>167953272.52056342</v>
      </c>
      <c r="F8" s="1101" t="e">
        <f>H8/$H$84</f>
        <v>#REF!</v>
      </c>
      <c r="G8" s="23"/>
      <c r="H8" s="1099" t="e">
        <f>H9+H22+H33+H39</f>
        <v>#REF!</v>
      </c>
      <c r="I8" s="23"/>
      <c r="J8" s="1099">
        <v>214445581.43176711</v>
      </c>
      <c r="K8" s="1099">
        <v>214445581.43176711</v>
      </c>
      <c r="L8" s="1099" t="e">
        <v>#VALUE!</v>
      </c>
      <c r="M8" s="1099" t="e">
        <v>#VALUE!</v>
      </c>
      <c r="N8" s="1099" t="e">
        <v>#VALUE!</v>
      </c>
      <c r="O8" s="118"/>
      <c r="P8" s="1099">
        <v>167953272.52056342</v>
      </c>
      <c r="Q8" s="1099">
        <v>167953272.52056342</v>
      </c>
      <c r="R8" s="1099" t="e">
        <v>#VALUE!</v>
      </c>
      <c r="S8" s="1099" t="e">
        <v>#VALUE!</v>
      </c>
      <c r="T8" s="1099" t="e">
        <v>#VALUE!</v>
      </c>
      <c r="V8" s="1102" t="e">
        <f>#REF!/'Inversion formato'!$H8</f>
        <v>#REF!</v>
      </c>
      <c r="W8" s="1102" t="e">
        <f>#REF!/'Inversion formato'!$H8</f>
        <v>#REF!</v>
      </c>
      <c r="X8" s="1102" t="e">
        <f>#REF!/'Inversion formato'!$H8</f>
        <v>#REF!</v>
      </c>
      <c r="Y8" s="1102" t="e">
        <f>#REF!/'Inversion formato'!$H8</f>
        <v>#REF!</v>
      </c>
      <c r="Z8" s="1102" t="e">
        <f>#REF!/'Inversion formato'!$H8</f>
        <v>#REF!</v>
      </c>
      <c r="AA8" s="1102" t="e">
        <f>#REF!/'Inversion formato'!$H8</f>
        <v>#REF!</v>
      </c>
      <c r="AB8" s="1102" t="e">
        <f>#REF!/'Inversion formato'!$H8</f>
        <v>#REF!</v>
      </c>
      <c r="AC8" s="1102" t="e">
        <f>#REF!/'Inversion formato'!$H8</f>
        <v>#REF!</v>
      </c>
      <c r="AD8" s="1102" t="e">
        <f>#REF!/'Inversion formato'!$H8</f>
        <v>#REF!</v>
      </c>
      <c r="AE8" s="1102" t="e">
        <f>#REF!/'Inversion formato'!$H8</f>
        <v>#REF!</v>
      </c>
      <c r="AF8" s="1102" t="e">
        <f>#REF!/'Inversion formato'!$H8</f>
        <v>#REF!</v>
      </c>
      <c r="AG8" s="1082" t="e">
        <f>SUM(V8:AF8)</f>
        <v>#REF!</v>
      </c>
    </row>
    <row r="9" spans="1:33" ht="18.75" customHeight="1" outlineLevel="1">
      <c r="A9" s="1103" t="e">
        <f>#REF!</f>
        <v>#REF!</v>
      </c>
      <c r="B9" s="1104" t="e">
        <f>#REF!</f>
        <v>#REF!</v>
      </c>
      <c r="C9" s="1105">
        <f t="shared" si="0"/>
        <v>91893860.688377976</v>
      </c>
      <c r="D9" s="1106">
        <f t="shared" ref="D9:D84" si="2">IF(C9=0,"n/d",E9/C9)</f>
        <v>0.75858989047021985</v>
      </c>
      <c r="E9" s="1105">
        <f t="shared" si="1"/>
        <v>69709753.714482293</v>
      </c>
      <c r="F9" s="1107" t="e">
        <f>H9/$H$8</f>
        <v>#REF!</v>
      </c>
      <c r="G9" s="23"/>
      <c r="H9" s="1105" t="e">
        <f>SUM(H10:H21)</f>
        <v>#REF!</v>
      </c>
      <c r="I9" s="23"/>
      <c r="J9" s="1105">
        <v>91893860.688377976</v>
      </c>
      <c r="K9" s="1105">
        <v>91893860.688377976</v>
      </c>
      <c r="L9" s="1105" t="e">
        <v>#VALUE!</v>
      </c>
      <c r="M9" s="1105" t="e">
        <v>#VALUE!</v>
      </c>
      <c r="N9" s="1105" t="e">
        <v>#VALUE!</v>
      </c>
      <c r="O9" s="118"/>
      <c r="P9" s="1105">
        <v>69709753.714482293</v>
      </c>
      <c r="Q9" s="1105">
        <v>69709753.714482293</v>
      </c>
      <c r="R9" s="1105" t="e">
        <v>#VALUE!</v>
      </c>
      <c r="S9" s="1105" t="e">
        <v>#VALUE!</v>
      </c>
      <c r="T9" s="1105" t="e">
        <v>#VALUE!</v>
      </c>
      <c r="V9" s="249" t="e">
        <f>#REF!/'Inversion formato'!$H9</f>
        <v>#REF!</v>
      </c>
      <c r="W9" s="249" t="e">
        <f>#REF!/'Inversion formato'!$H9</f>
        <v>#REF!</v>
      </c>
      <c r="X9" s="249" t="e">
        <f>#REF!/'Inversion formato'!$H9</f>
        <v>#REF!</v>
      </c>
      <c r="Y9" s="249" t="e">
        <f>#REF!/'Inversion formato'!$H9</f>
        <v>#REF!</v>
      </c>
      <c r="Z9" s="249" t="e">
        <f>#REF!/'Inversion formato'!$H9</f>
        <v>#REF!</v>
      </c>
      <c r="AA9" s="249" t="e">
        <f>#REF!/'Inversion formato'!$H9</f>
        <v>#REF!</v>
      </c>
      <c r="AB9" s="249" t="e">
        <f>#REF!/'Inversion formato'!$H9</f>
        <v>#REF!</v>
      </c>
      <c r="AC9" s="249" t="e">
        <f>#REF!/'Inversion formato'!$H9</f>
        <v>#REF!</v>
      </c>
      <c r="AD9" s="249" t="e">
        <f>#REF!/'Inversion formato'!$H9</f>
        <v>#REF!</v>
      </c>
      <c r="AE9" s="249" t="e">
        <f>#REF!/'Inversion formato'!$H9</f>
        <v>#REF!</v>
      </c>
      <c r="AF9" s="249" t="e">
        <f>#REF!/'Inversion formato'!$H9</f>
        <v>#REF!</v>
      </c>
      <c r="AG9" s="252" t="e">
        <f t="shared" ref="AG9:AG72" si="3">SUM(V9:AF9)</f>
        <v>#REF!</v>
      </c>
    </row>
    <row r="10" spans="1:33" outlineLevel="2">
      <c r="A10" s="79" t="e">
        <f>#REF!</f>
        <v>#REF!</v>
      </c>
      <c r="B10" s="80" t="e">
        <f>#REF!</f>
        <v>#REF!</v>
      </c>
      <c r="C10" s="81">
        <f t="shared" si="0"/>
        <v>17796087.105</v>
      </c>
      <c r="D10" s="117">
        <f t="shared" si="2"/>
        <v>0.75178646401584381</v>
      </c>
      <c r="E10" s="81">
        <f t="shared" si="1"/>
        <v>13378857.397985905</v>
      </c>
      <c r="F10" s="94" t="e">
        <f>IF($H$9=0,0,H10/$H$9)</f>
        <v>#REF!</v>
      </c>
      <c r="G10" s="23"/>
      <c r="H10" s="81" t="e">
        <f>#REF!</f>
        <v>#REF!</v>
      </c>
      <c r="I10" s="23"/>
      <c r="J10" s="81">
        <v>17796087.105</v>
      </c>
      <c r="K10" s="81">
        <v>17796087.105</v>
      </c>
      <c r="L10" s="81" t="e">
        <v>#VALUE!</v>
      </c>
      <c r="M10" s="81" t="e">
        <v>#VALUE!</v>
      </c>
      <c r="N10" s="81" t="e">
        <v>#VALUE!</v>
      </c>
      <c r="O10" s="118"/>
      <c r="P10" s="81">
        <v>13378857.397985905</v>
      </c>
      <c r="Q10" s="81">
        <v>13378857.397985905</v>
      </c>
      <c r="R10" s="81" t="e">
        <v>#VALUE!</v>
      </c>
      <c r="S10" s="81" t="e">
        <v>#VALUE!</v>
      </c>
      <c r="T10" s="81" t="e">
        <v>#VALUE!</v>
      </c>
      <c r="V10" s="250" t="e">
        <f>#REF!/'Inversion formato'!$H10</f>
        <v>#REF!</v>
      </c>
      <c r="W10" s="250" t="e">
        <f>#REF!/'Inversion formato'!$H10</f>
        <v>#REF!</v>
      </c>
      <c r="X10" s="250" t="e">
        <f>#REF!/'Inversion formato'!$H10</f>
        <v>#REF!</v>
      </c>
      <c r="Y10" s="250" t="e">
        <f>#REF!/'Inversion formato'!$H10</f>
        <v>#REF!</v>
      </c>
      <c r="Z10" s="250" t="e">
        <f>#REF!/'Inversion formato'!$H10</f>
        <v>#REF!</v>
      </c>
      <c r="AA10" s="250" t="e">
        <f>#REF!/'Inversion formato'!$H10</f>
        <v>#REF!</v>
      </c>
      <c r="AB10" s="250" t="e">
        <f>#REF!/'Inversion formato'!$H10</f>
        <v>#REF!</v>
      </c>
      <c r="AC10" s="250" t="e">
        <f>#REF!/'Inversion formato'!$H10</f>
        <v>#REF!</v>
      </c>
      <c r="AD10" s="250" t="e">
        <f>#REF!/'Inversion formato'!$H10</f>
        <v>#REF!</v>
      </c>
      <c r="AE10" s="250" t="e">
        <f>#REF!/'Inversion formato'!$H10</f>
        <v>#REF!</v>
      </c>
      <c r="AF10" s="250" t="e">
        <f>#REF!/'Inversion formato'!$H10</f>
        <v>#REF!</v>
      </c>
      <c r="AG10" s="251" t="e">
        <f t="shared" si="3"/>
        <v>#REF!</v>
      </c>
    </row>
    <row r="11" spans="1:33" ht="18.75" customHeight="1" outlineLevel="2">
      <c r="A11" s="79" t="e">
        <f>#REF!</f>
        <v>#REF!</v>
      </c>
      <c r="B11" s="80" t="e">
        <f>#REF!</f>
        <v>#REF!</v>
      </c>
      <c r="C11" s="81">
        <f t="shared" si="0"/>
        <v>48172143.553125001</v>
      </c>
      <c r="D11" s="117">
        <f t="shared" si="2"/>
        <v>0.76015225670845554</v>
      </c>
      <c r="E11" s="81">
        <f t="shared" si="1"/>
        <v>36618163.632391647</v>
      </c>
      <c r="F11" s="94" t="e">
        <f t="shared" ref="F11:F21" si="4">IF($H$9=0,0,H11/$H$9)</f>
        <v>#REF!</v>
      </c>
      <c r="G11" s="23"/>
      <c r="H11" s="81" t="e">
        <f>#REF!</f>
        <v>#REF!</v>
      </c>
      <c r="I11" s="23"/>
      <c r="J11" s="81">
        <v>48172143.553125001</v>
      </c>
      <c r="K11" s="81">
        <v>48172143.553125001</v>
      </c>
      <c r="L11" s="81" t="e">
        <v>#VALUE!</v>
      </c>
      <c r="M11" s="81" t="e">
        <v>#VALUE!</v>
      </c>
      <c r="N11" s="81" t="e">
        <v>#VALUE!</v>
      </c>
      <c r="O11" s="118"/>
      <c r="P11" s="81">
        <v>36618163.632391647</v>
      </c>
      <c r="Q11" s="81">
        <v>36618163.632391647</v>
      </c>
      <c r="R11" s="81" t="e">
        <v>#VALUE!</v>
      </c>
      <c r="S11" s="81" t="e">
        <v>#VALUE!</v>
      </c>
      <c r="T11" s="81" t="e">
        <v>#VALUE!</v>
      </c>
      <c r="V11" s="250" t="e">
        <f>#REF!/'Inversion formato'!$H11</f>
        <v>#REF!</v>
      </c>
      <c r="W11" s="250" t="e">
        <f>#REF!/'Inversion formato'!$H11</f>
        <v>#REF!</v>
      </c>
      <c r="X11" s="250" t="e">
        <f>#REF!/'Inversion formato'!$H11</f>
        <v>#REF!</v>
      </c>
      <c r="Y11" s="250" t="e">
        <f>#REF!/'Inversion formato'!$H11</f>
        <v>#REF!</v>
      </c>
      <c r="Z11" s="250" t="e">
        <f>#REF!/'Inversion formato'!$H11</f>
        <v>#REF!</v>
      </c>
      <c r="AA11" s="250" t="e">
        <f>#REF!/'Inversion formato'!$H11</f>
        <v>#REF!</v>
      </c>
      <c r="AB11" s="250" t="e">
        <f>#REF!/'Inversion formato'!$H11</f>
        <v>#REF!</v>
      </c>
      <c r="AC11" s="250" t="e">
        <f>#REF!/'Inversion formato'!$H11</f>
        <v>#REF!</v>
      </c>
      <c r="AD11" s="250" t="e">
        <f>#REF!/'Inversion formato'!$H11</f>
        <v>#REF!</v>
      </c>
      <c r="AE11" s="250" t="e">
        <f>#REF!/'Inversion formato'!$H11</f>
        <v>#REF!</v>
      </c>
      <c r="AF11" s="250" t="e">
        <f>#REF!/'Inversion formato'!$H11</f>
        <v>#REF!</v>
      </c>
      <c r="AG11" s="251" t="e">
        <f t="shared" si="3"/>
        <v>#REF!</v>
      </c>
    </row>
    <row r="12" spans="1:33" ht="18.75" customHeight="1" outlineLevel="2">
      <c r="A12" s="79" t="e">
        <f>#REF!</f>
        <v>#REF!</v>
      </c>
      <c r="B12" s="80" t="e">
        <f>#REF!</f>
        <v>#REF!</v>
      </c>
      <c r="C12" s="81">
        <f t="shared" si="0"/>
        <v>7018010.666666666</v>
      </c>
      <c r="D12" s="117">
        <f t="shared" si="2"/>
        <v>0.75929430317005253</v>
      </c>
      <c r="E12" s="81">
        <f t="shared" si="1"/>
        <v>5328735.5187866623</v>
      </c>
      <c r="F12" s="94" t="e">
        <f t="shared" si="4"/>
        <v>#REF!</v>
      </c>
      <c r="G12" s="23"/>
      <c r="H12" s="81" t="e">
        <f>#REF!</f>
        <v>#REF!</v>
      </c>
      <c r="I12" s="23"/>
      <c r="J12" s="81">
        <v>7018010.666666666</v>
      </c>
      <c r="K12" s="81">
        <v>7018010.666666666</v>
      </c>
      <c r="L12" s="81" t="e">
        <v>#VALUE!</v>
      </c>
      <c r="M12" s="81" t="e">
        <v>#VALUE!</v>
      </c>
      <c r="N12" s="81" t="e">
        <v>#VALUE!</v>
      </c>
      <c r="O12" s="118"/>
      <c r="P12" s="81">
        <v>5328735.5187866623</v>
      </c>
      <c r="Q12" s="81">
        <v>5328735.5187866623</v>
      </c>
      <c r="R12" s="81" t="e">
        <v>#VALUE!</v>
      </c>
      <c r="S12" s="81" t="e">
        <v>#VALUE!</v>
      </c>
      <c r="T12" s="81" t="e">
        <v>#VALUE!</v>
      </c>
      <c r="V12" s="250" t="e">
        <f>#REF!/'Inversion formato'!$H12</f>
        <v>#REF!</v>
      </c>
      <c r="W12" s="250" t="e">
        <f>#REF!/'Inversion formato'!$H12</f>
        <v>#REF!</v>
      </c>
      <c r="X12" s="250" t="e">
        <f>#REF!/'Inversion formato'!$H12</f>
        <v>#REF!</v>
      </c>
      <c r="Y12" s="250" t="e">
        <f>#REF!/'Inversion formato'!$H12</f>
        <v>#REF!</v>
      </c>
      <c r="Z12" s="250" t="e">
        <f>#REF!/'Inversion formato'!$H12</f>
        <v>#REF!</v>
      </c>
      <c r="AA12" s="250" t="e">
        <f>#REF!/'Inversion formato'!$H12</f>
        <v>#REF!</v>
      </c>
      <c r="AB12" s="250" t="e">
        <f>#REF!/'Inversion formato'!$H12</f>
        <v>#REF!</v>
      </c>
      <c r="AC12" s="250" t="e">
        <f>#REF!/'Inversion formato'!$H12</f>
        <v>#REF!</v>
      </c>
      <c r="AD12" s="250" t="e">
        <f>#REF!/'Inversion formato'!$H12</f>
        <v>#REF!</v>
      </c>
      <c r="AE12" s="250" t="e">
        <f>#REF!/'Inversion formato'!$H12</f>
        <v>#REF!</v>
      </c>
      <c r="AF12" s="250" t="e">
        <f>#REF!/'Inversion formato'!$H12</f>
        <v>#REF!</v>
      </c>
      <c r="AG12" s="251" t="e">
        <f t="shared" si="3"/>
        <v>#REF!</v>
      </c>
    </row>
    <row r="13" spans="1:33" ht="18.75" customHeight="1" outlineLevel="2">
      <c r="A13" s="79" t="e">
        <f>#REF!</f>
        <v>#REF!</v>
      </c>
      <c r="B13" s="80" t="e">
        <f>#REF!</f>
        <v>#REF!</v>
      </c>
      <c r="C13" s="81">
        <f t="shared" si="0"/>
        <v>0</v>
      </c>
      <c r="D13" s="117" t="str">
        <f t="shared" si="2"/>
        <v>n/d</v>
      </c>
      <c r="E13" s="81">
        <f t="shared" si="1"/>
        <v>0</v>
      </c>
      <c r="F13" s="94" t="e">
        <f t="shared" si="4"/>
        <v>#REF!</v>
      </c>
      <c r="G13" s="23"/>
      <c r="H13" s="81" t="e">
        <f>#REF!</f>
        <v>#REF!</v>
      </c>
      <c r="I13" s="23"/>
      <c r="J13" s="81">
        <v>0</v>
      </c>
      <c r="K13" s="81">
        <v>0</v>
      </c>
      <c r="L13" s="81" t="e">
        <v>#VALUE!</v>
      </c>
      <c r="M13" s="81" t="e">
        <v>#VALUE!</v>
      </c>
      <c r="N13" s="81" t="e">
        <v>#VALUE!</v>
      </c>
      <c r="O13" s="118"/>
      <c r="P13" s="81">
        <v>0</v>
      </c>
      <c r="Q13" s="81">
        <v>0</v>
      </c>
      <c r="R13" s="81" t="e">
        <v>#VALUE!</v>
      </c>
      <c r="S13" s="81" t="e">
        <v>#VALUE!</v>
      </c>
      <c r="T13" s="81" t="e">
        <v>#VALUE!</v>
      </c>
      <c r="V13" s="250" t="e">
        <f>#REF!/'Inversion formato'!$H13</f>
        <v>#REF!</v>
      </c>
      <c r="W13" s="250" t="e">
        <f>#REF!/'Inversion formato'!$H13</f>
        <v>#REF!</v>
      </c>
      <c r="X13" s="250" t="e">
        <f>#REF!/'Inversion formato'!$H13</f>
        <v>#REF!</v>
      </c>
      <c r="Y13" s="250" t="e">
        <f>#REF!/'Inversion formato'!$H13</f>
        <v>#REF!</v>
      </c>
      <c r="Z13" s="250" t="e">
        <f>#REF!/'Inversion formato'!$H13</f>
        <v>#REF!</v>
      </c>
      <c r="AA13" s="250" t="e">
        <f>#REF!/'Inversion formato'!$H13</f>
        <v>#REF!</v>
      </c>
      <c r="AB13" s="250" t="e">
        <f>#REF!/'Inversion formato'!$H13</f>
        <v>#REF!</v>
      </c>
      <c r="AC13" s="250" t="e">
        <f>#REF!/'Inversion formato'!$H13</f>
        <v>#REF!</v>
      </c>
      <c r="AD13" s="250" t="e">
        <f>#REF!/'Inversion formato'!$H13</f>
        <v>#REF!</v>
      </c>
      <c r="AE13" s="250" t="e">
        <f>#REF!/'Inversion formato'!$H13</f>
        <v>#REF!</v>
      </c>
      <c r="AF13" s="250" t="e">
        <f>#REF!/'Inversion formato'!$H13</f>
        <v>#REF!</v>
      </c>
      <c r="AG13" s="251" t="e">
        <f t="shared" si="3"/>
        <v>#REF!</v>
      </c>
    </row>
    <row r="14" spans="1:33" ht="18.75" customHeight="1" outlineLevel="2">
      <c r="A14" s="79" t="e">
        <f>#REF!</f>
        <v>#REF!</v>
      </c>
      <c r="B14" s="80" t="e">
        <f>#REF!</f>
        <v>#REF!</v>
      </c>
      <c r="C14" s="81">
        <f t="shared" si="0"/>
        <v>10200175.69125</v>
      </c>
      <c r="D14" s="117">
        <f t="shared" si="2"/>
        <v>0.75991066459613121</v>
      </c>
      <c r="E14" s="81">
        <f t="shared" si="1"/>
        <v>7751222.2885350892</v>
      </c>
      <c r="F14" s="94" t="e">
        <f t="shared" si="4"/>
        <v>#REF!</v>
      </c>
      <c r="G14" s="23"/>
      <c r="H14" s="81" t="e">
        <f>#REF!</f>
        <v>#REF!</v>
      </c>
      <c r="I14" s="23"/>
      <c r="J14" s="81">
        <v>10200175.69125</v>
      </c>
      <c r="K14" s="81">
        <v>10200175.69125</v>
      </c>
      <c r="L14" s="81" t="e">
        <v>#VALUE!</v>
      </c>
      <c r="M14" s="81" t="e">
        <v>#VALUE!</v>
      </c>
      <c r="N14" s="81" t="e">
        <v>#VALUE!</v>
      </c>
      <c r="O14" s="118"/>
      <c r="P14" s="81">
        <v>7751222.2885350892</v>
      </c>
      <c r="Q14" s="81">
        <v>7751222.2885350892</v>
      </c>
      <c r="R14" s="81" t="e">
        <v>#VALUE!</v>
      </c>
      <c r="S14" s="81" t="e">
        <v>#VALUE!</v>
      </c>
      <c r="T14" s="81" t="e">
        <v>#VALUE!</v>
      </c>
      <c r="V14" s="250" t="e">
        <f>#REF!/'Inversion formato'!$H14</f>
        <v>#REF!</v>
      </c>
      <c r="W14" s="250" t="e">
        <f>#REF!/'Inversion formato'!$H14</f>
        <v>#REF!</v>
      </c>
      <c r="X14" s="250" t="e">
        <f>#REF!/'Inversion formato'!$H14</f>
        <v>#REF!</v>
      </c>
      <c r="Y14" s="250" t="e">
        <f>#REF!/'Inversion formato'!$H14</f>
        <v>#REF!</v>
      </c>
      <c r="Z14" s="250" t="e">
        <f>#REF!/'Inversion formato'!$H14</f>
        <v>#REF!</v>
      </c>
      <c r="AA14" s="250" t="e">
        <f>#REF!/'Inversion formato'!$H14</f>
        <v>#REF!</v>
      </c>
      <c r="AB14" s="250" t="e">
        <f>#REF!/'Inversion formato'!$H14</f>
        <v>#REF!</v>
      </c>
      <c r="AC14" s="250" t="e">
        <f>#REF!/'Inversion formato'!$H14</f>
        <v>#REF!</v>
      </c>
      <c r="AD14" s="250" t="e">
        <f>#REF!/'Inversion formato'!$H14</f>
        <v>#REF!</v>
      </c>
      <c r="AE14" s="250" t="e">
        <f>#REF!/'Inversion formato'!$H14</f>
        <v>#REF!</v>
      </c>
      <c r="AF14" s="250" t="e">
        <f>#REF!/'Inversion formato'!$H14</f>
        <v>#REF!</v>
      </c>
      <c r="AG14" s="251" t="e">
        <f t="shared" si="3"/>
        <v>#REF!</v>
      </c>
    </row>
    <row r="15" spans="1:33" ht="18.75" customHeight="1" outlineLevel="2">
      <c r="A15" s="79" t="e">
        <f>#REF!</f>
        <v>#REF!</v>
      </c>
      <c r="B15" s="80" t="e">
        <f>#REF!</f>
        <v>#REF!</v>
      </c>
      <c r="C15" s="81">
        <f t="shared" si="0"/>
        <v>5275183.2518750001</v>
      </c>
      <c r="D15" s="117">
        <f t="shared" si="2"/>
        <v>0.76009221085898693</v>
      </c>
      <c r="E15" s="81">
        <f t="shared" si="1"/>
        <v>4009625.7006039689</v>
      </c>
      <c r="F15" s="94" t="e">
        <f t="shared" si="4"/>
        <v>#REF!</v>
      </c>
      <c r="G15" s="23"/>
      <c r="H15" s="81" t="e">
        <f>#REF!</f>
        <v>#REF!</v>
      </c>
      <c r="I15" s="23"/>
      <c r="J15" s="81">
        <v>5275183.2518750001</v>
      </c>
      <c r="K15" s="81">
        <v>5275183.2518750001</v>
      </c>
      <c r="L15" s="81" t="e">
        <v>#VALUE!</v>
      </c>
      <c r="M15" s="81" t="e">
        <v>#VALUE!</v>
      </c>
      <c r="N15" s="81" t="e">
        <v>#VALUE!</v>
      </c>
      <c r="O15" s="118"/>
      <c r="P15" s="81">
        <v>4009625.7006039689</v>
      </c>
      <c r="Q15" s="81">
        <v>4009625.7006039689</v>
      </c>
      <c r="R15" s="81" t="e">
        <v>#VALUE!</v>
      </c>
      <c r="S15" s="81" t="e">
        <v>#VALUE!</v>
      </c>
      <c r="T15" s="81" t="e">
        <v>#VALUE!</v>
      </c>
      <c r="V15" s="250" t="e">
        <f>#REF!/'Inversion formato'!$H15</f>
        <v>#REF!</v>
      </c>
      <c r="W15" s="250" t="e">
        <f>#REF!/'Inversion formato'!$H15</f>
        <v>#REF!</v>
      </c>
      <c r="X15" s="250" t="e">
        <f>#REF!/'Inversion formato'!$H15</f>
        <v>#REF!</v>
      </c>
      <c r="Y15" s="250" t="e">
        <f>#REF!/'Inversion formato'!$H15</f>
        <v>#REF!</v>
      </c>
      <c r="Z15" s="250" t="e">
        <f>#REF!/'Inversion formato'!$H15</f>
        <v>#REF!</v>
      </c>
      <c r="AA15" s="250" t="e">
        <f>#REF!/'Inversion formato'!$H15</f>
        <v>#REF!</v>
      </c>
      <c r="AB15" s="250" t="e">
        <f>#REF!/'Inversion formato'!$H15</f>
        <v>#REF!</v>
      </c>
      <c r="AC15" s="250" t="e">
        <f>#REF!/'Inversion formato'!$H15</f>
        <v>#REF!</v>
      </c>
      <c r="AD15" s="250" t="e">
        <f>#REF!/'Inversion formato'!$H15</f>
        <v>#REF!</v>
      </c>
      <c r="AE15" s="250" t="e">
        <f>#REF!/'Inversion formato'!$H15</f>
        <v>#REF!</v>
      </c>
      <c r="AF15" s="250" t="e">
        <f>#REF!/'Inversion formato'!$H15</f>
        <v>#REF!</v>
      </c>
      <c r="AG15" s="251" t="e">
        <f t="shared" si="3"/>
        <v>#REF!</v>
      </c>
    </row>
    <row r="16" spans="1:33" outlineLevel="2">
      <c r="A16" s="79" t="e">
        <f>#REF!</f>
        <v>#REF!</v>
      </c>
      <c r="B16" s="80" t="e">
        <f>#REF!</f>
        <v>#REF!</v>
      </c>
      <c r="C16" s="81">
        <f t="shared" si="0"/>
        <v>1317983.5028124999</v>
      </c>
      <c r="D16" s="117">
        <f t="shared" si="2"/>
        <v>0.76519986077299129</v>
      </c>
      <c r="E16" s="81">
        <f t="shared" si="1"/>
        <v>1008520.7928532243</v>
      </c>
      <c r="F16" s="94" t="e">
        <f t="shared" si="4"/>
        <v>#REF!</v>
      </c>
      <c r="G16" s="23"/>
      <c r="H16" s="81" t="e">
        <f>#REF!</f>
        <v>#REF!</v>
      </c>
      <c r="I16" s="23"/>
      <c r="J16" s="81">
        <v>1317983.5028124999</v>
      </c>
      <c r="K16" s="81">
        <v>1317983.5028124999</v>
      </c>
      <c r="L16" s="81" t="e">
        <v>#VALUE!</v>
      </c>
      <c r="M16" s="81" t="e">
        <v>#VALUE!</v>
      </c>
      <c r="N16" s="81" t="e">
        <v>#VALUE!</v>
      </c>
      <c r="O16" s="118"/>
      <c r="P16" s="81">
        <v>1008520.7928532243</v>
      </c>
      <c r="Q16" s="81">
        <v>1008520.7928532243</v>
      </c>
      <c r="R16" s="81" t="e">
        <v>#VALUE!</v>
      </c>
      <c r="S16" s="81" t="e">
        <v>#VALUE!</v>
      </c>
      <c r="T16" s="81" t="e">
        <v>#VALUE!</v>
      </c>
      <c r="V16" s="250" t="e">
        <f>#REF!/'Inversion formato'!$H16</f>
        <v>#REF!</v>
      </c>
      <c r="W16" s="250" t="e">
        <f>#REF!/'Inversion formato'!$H16</f>
        <v>#REF!</v>
      </c>
      <c r="X16" s="250" t="e">
        <f>#REF!/'Inversion formato'!$H16</f>
        <v>#REF!</v>
      </c>
      <c r="Y16" s="250" t="e">
        <f>#REF!/'Inversion formato'!$H16</f>
        <v>#REF!</v>
      </c>
      <c r="Z16" s="250" t="e">
        <f>#REF!/'Inversion formato'!$H16</f>
        <v>#REF!</v>
      </c>
      <c r="AA16" s="250" t="e">
        <f>#REF!/'Inversion formato'!$H16</f>
        <v>#REF!</v>
      </c>
      <c r="AB16" s="250" t="e">
        <f>#REF!/'Inversion formato'!$H16</f>
        <v>#REF!</v>
      </c>
      <c r="AC16" s="250" t="e">
        <f>#REF!/'Inversion formato'!$H16</f>
        <v>#REF!</v>
      </c>
      <c r="AD16" s="250" t="e">
        <f>#REF!/'Inversion formato'!$H16</f>
        <v>#REF!</v>
      </c>
      <c r="AE16" s="250" t="e">
        <f>#REF!/'Inversion formato'!$H16</f>
        <v>#REF!</v>
      </c>
      <c r="AF16" s="250" t="e">
        <f>#REF!/'Inversion formato'!$H16</f>
        <v>#REF!</v>
      </c>
      <c r="AG16" s="251" t="e">
        <f t="shared" si="3"/>
        <v>#REF!</v>
      </c>
    </row>
    <row r="17" spans="1:33" ht="25.5" customHeight="1" outlineLevel="3">
      <c r="A17" s="79" t="e">
        <f>#REF!</f>
        <v>#REF!</v>
      </c>
      <c r="B17" s="80" t="e">
        <f>#REF!</f>
        <v>#REF!</v>
      </c>
      <c r="C17" s="81">
        <f t="shared" si="0"/>
        <v>0</v>
      </c>
      <c r="D17" s="117" t="str">
        <f t="shared" si="2"/>
        <v>n/d</v>
      </c>
      <c r="E17" s="81">
        <f t="shared" si="1"/>
        <v>0</v>
      </c>
      <c r="F17" s="94" t="e">
        <f t="shared" si="4"/>
        <v>#REF!</v>
      </c>
      <c r="G17" s="23"/>
      <c r="H17" s="81" t="e">
        <f>#REF!</f>
        <v>#REF!</v>
      </c>
      <c r="I17" s="23"/>
      <c r="J17" s="81">
        <v>0</v>
      </c>
      <c r="K17" s="81">
        <v>0</v>
      </c>
      <c r="L17" s="81" t="e">
        <v>#VALUE!</v>
      </c>
      <c r="M17" s="81" t="e">
        <v>#VALUE!</v>
      </c>
      <c r="N17" s="81" t="e">
        <v>#VALUE!</v>
      </c>
      <c r="O17" s="118"/>
      <c r="P17" s="81">
        <v>0</v>
      </c>
      <c r="Q17" s="81">
        <v>0</v>
      </c>
      <c r="R17" s="81" t="e">
        <v>#VALUE!</v>
      </c>
      <c r="S17" s="81" t="e">
        <v>#VALUE!</v>
      </c>
      <c r="T17" s="81" t="e">
        <v>#VALUE!</v>
      </c>
      <c r="V17" s="250" t="e">
        <f>#REF!/'Inversion formato'!$H17</f>
        <v>#REF!</v>
      </c>
      <c r="W17" s="250" t="e">
        <f>#REF!/'Inversion formato'!$H17</f>
        <v>#REF!</v>
      </c>
      <c r="X17" s="250" t="e">
        <f>#REF!/'Inversion formato'!$H17</f>
        <v>#REF!</v>
      </c>
      <c r="Y17" s="250" t="e">
        <f>#REF!/'Inversion formato'!$H17</f>
        <v>#REF!</v>
      </c>
      <c r="Z17" s="250" t="e">
        <f>#REF!/'Inversion formato'!$H17</f>
        <v>#REF!</v>
      </c>
      <c r="AA17" s="250" t="e">
        <f>#REF!/'Inversion formato'!$H17</f>
        <v>#REF!</v>
      </c>
      <c r="AB17" s="250" t="e">
        <f>#REF!/'Inversion formato'!$H17</f>
        <v>#REF!</v>
      </c>
      <c r="AC17" s="250" t="e">
        <f>#REF!/'Inversion formato'!$H17</f>
        <v>#REF!</v>
      </c>
      <c r="AD17" s="250" t="e">
        <f>#REF!/'Inversion formato'!$H17</f>
        <v>#REF!</v>
      </c>
      <c r="AE17" s="250" t="e">
        <f>#REF!/'Inversion formato'!$H17</f>
        <v>#REF!</v>
      </c>
      <c r="AF17" s="250" t="e">
        <f>#REF!/'Inversion formato'!$H17</f>
        <v>#REF!</v>
      </c>
      <c r="AG17" s="251" t="e">
        <f t="shared" si="3"/>
        <v>#REF!</v>
      </c>
    </row>
    <row r="18" spans="1:33" ht="25.5" customHeight="1" outlineLevel="3">
      <c r="A18" s="79" t="e">
        <f>#REF!</f>
        <v>#REF!</v>
      </c>
      <c r="B18" s="80" t="e">
        <f>#REF!</f>
        <v>#REF!</v>
      </c>
      <c r="C18" s="81">
        <f t="shared" si="0"/>
        <v>0</v>
      </c>
      <c r="D18" s="117" t="str">
        <f t="shared" si="2"/>
        <v>n/d</v>
      </c>
      <c r="E18" s="81">
        <f t="shared" si="1"/>
        <v>0</v>
      </c>
      <c r="F18" s="94" t="e">
        <f t="shared" si="4"/>
        <v>#REF!</v>
      </c>
      <c r="G18" s="23"/>
      <c r="H18" s="81" t="e">
        <f>#REF!</f>
        <v>#REF!</v>
      </c>
      <c r="I18" s="23"/>
      <c r="J18" s="81">
        <v>0</v>
      </c>
      <c r="K18" s="81">
        <v>0</v>
      </c>
      <c r="L18" s="81" t="e">
        <v>#VALUE!</v>
      </c>
      <c r="M18" s="81" t="e">
        <v>#VALUE!</v>
      </c>
      <c r="N18" s="81" t="e">
        <v>#VALUE!</v>
      </c>
      <c r="O18" s="118"/>
      <c r="P18" s="81">
        <v>0</v>
      </c>
      <c r="Q18" s="81">
        <v>0</v>
      </c>
      <c r="R18" s="81" t="e">
        <v>#VALUE!</v>
      </c>
      <c r="S18" s="81" t="e">
        <v>#VALUE!</v>
      </c>
      <c r="T18" s="81" t="e">
        <v>#VALUE!</v>
      </c>
      <c r="V18" s="250" t="e">
        <f>#REF!/'Inversion formato'!$H18</f>
        <v>#REF!</v>
      </c>
      <c r="W18" s="250" t="e">
        <f>#REF!/'Inversion formato'!$H18</f>
        <v>#REF!</v>
      </c>
      <c r="X18" s="250" t="e">
        <f>#REF!/'Inversion formato'!$H18</f>
        <v>#REF!</v>
      </c>
      <c r="Y18" s="250" t="e">
        <f>#REF!/'Inversion formato'!$H18</f>
        <v>#REF!</v>
      </c>
      <c r="Z18" s="250" t="e">
        <f>#REF!/'Inversion formato'!$H18</f>
        <v>#REF!</v>
      </c>
      <c r="AA18" s="250" t="e">
        <f>#REF!/'Inversion formato'!$H18</f>
        <v>#REF!</v>
      </c>
      <c r="AB18" s="250" t="e">
        <f>#REF!/'Inversion formato'!$H18</f>
        <v>#REF!</v>
      </c>
      <c r="AC18" s="250" t="e">
        <f>#REF!/'Inversion formato'!$H18</f>
        <v>#REF!</v>
      </c>
      <c r="AD18" s="250" t="e">
        <f>#REF!/'Inversion formato'!$H18</f>
        <v>#REF!</v>
      </c>
      <c r="AE18" s="250" t="e">
        <f>#REF!/'Inversion formato'!$H18</f>
        <v>#REF!</v>
      </c>
      <c r="AF18" s="250" t="e">
        <f>#REF!/'Inversion formato'!$H18</f>
        <v>#REF!</v>
      </c>
      <c r="AG18" s="251" t="e">
        <f t="shared" si="3"/>
        <v>#REF!</v>
      </c>
    </row>
    <row r="19" spans="1:33" ht="25.5" customHeight="1" outlineLevel="3">
      <c r="A19" s="79" t="e">
        <f>#REF!</f>
        <v>#REF!</v>
      </c>
      <c r="B19" s="80" t="e">
        <f>#REF!</f>
        <v>#REF!</v>
      </c>
      <c r="C19" s="81">
        <f t="shared" si="0"/>
        <v>0</v>
      </c>
      <c r="D19" s="117" t="str">
        <f t="shared" si="2"/>
        <v>n/d</v>
      </c>
      <c r="E19" s="81">
        <f t="shared" si="1"/>
        <v>0</v>
      </c>
      <c r="F19" s="94" t="e">
        <f t="shared" si="4"/>
        <v>#REF!</v>
      </c>
      <c r="G19" s="23"/>
      <c r="H19" s="81" t="e">
        <f>#REF!</f>
        <v>#REF!</v>
      </c>
      <c r="I19" s="23"/>
      <c r="J19" s="81">
        <v>0</v>
      </c>
      <c r="K19" s="81">
        <v>0</v>
      </c>
      <c r="L19" s="81" t="e">
        <v>#VALUE!</v>
      </c>
      <c r="M19" s="81" t="e">
        <v>#VALUE!</v>
      </c>
      <c r="N19" s="81" t="e">
        <v>#VALUE!</v>
      </c>
      <c r="O19" s="118"/>
      <c r="P19" s="81">
        <v>0</v>
      </c>
      <c r="Q19" s="81">
        <v>0</v>
      </c>
      <c r="R19" s="81" t="e">
        <v>#VALUE!</v>
      </c>
      <c r="S19" s="81" t="e">
        <v>#VALUE!</v>
      </c>
      <c r="T19" s="81" t="e">
        <v>#VALUE!</v>
      </c>
      <c r="V19" s="250" t="e">
        <f>#REF!/'Inversion formato'!$H19</f>
        <v>#REF!</v>
      </c>
      <c r="W19" s="250" t="e">
        <f>#REF!/'Inversion formato'!$H19</f>
        <v>#REF!</v>
      </c>
      <c r="X19" s="250" t="e">
        <f>#REF!/'Inversion formato'!$H19</f>
        <v>#REF!</v>
      </c>
      <c r="Y19" s="250" t="e">
        <f>#REF!/'Inversion formato'!$H19</f>
        <v>#REF!</v>
      </c>
      <c r="Z19" s="250" t="e">
        <f>#REF!/'Inversion formato'!$H19</f>
        <v>#REF!</v>
      </c>
      <c r="AA19" s="250" t="e">
        <f>#REF!/'Inversion formato'!$H19</f>
        <v>#REF!</v>
      </c>
      <c r="AB19" s="250" t="e">
        <f>#REF!/'Inversion formato'!$H19</f>
        <v>#REF!</v>
      </c>
      <c r="AC19" s="250" t="e">
        <f>#REF!/'Inversion formato'!$H19</f>
        <v>#REF!</v>
      </c>
      <c r="AD19" s="250" t="e">
        <f>#REF!/'Inversion formato'!$H19</f>
        <v>#REF!</v>
      </c>
      <c r="AE19" s="250" t="e">
        <f>#REF!/'Inversion formato'!$H19</f>
        <v>#REF!</v>
      </c>
      <c r="AF19" s="250" t="e">
        <f>#REF!/'Inversion formato'!$H19</f>
        <v>#REF!</v>
      </c>
      <c r="AG19" s="251" t="e">
        <f t="shared" si="3"/>
        <v>#REF!</v>
      </c>
    </row>
    <row r="20" spans="1:33" ht="25.5" customHeight="1" outlineLevel="3">
      <c r="A20" s="79" t="e">
        <f>#REF!</f>
        <v>#REF!</v>
      </c>
      <c r="B20" s="80" t="e">
        <f>#REF!</f>
        <v>#REF!</v>
      </c>
      <c r="C20" s="81">
        <f t="shared" si="0"/>
        <v>0</v>
      </c>
      <c r="D20" s="117" t="str">
        <f t="shared" si="2"/>
        <v>n/d</v>
      </c>
      <c r="E20" s="81">
        <f t="shared" si="1"/>
        <v>0</v>
      </c>
      <c r="F20" s="94" t="e">
        <f t="shared" si="4"/>
        <v>#REF!</v>
      </c>
      <c r="G20" s="23"/>
      <c r="H20" s="81" t="e">
        <f>#REF!</f>
        <v>#REF!</v>
      </c>
      <c r="I20" s="23"/>
      <c r="J20" s="81">
        <v>0</v>
      </c>
      <c r="K20" s="81">
        <v>0</v>
      </c>
      <c r="L20" s="81" t="e">
        <v>#VALUE!</v>
      </c>
      <c r="M20" s="81" t="e">
        <v>#VALUE!</v>
      </c>
      <c r="N20" s="81" t="e">
        <v>#VALUE!</v>
      </c>
      <c r="O20" s="118"/>
      <c r="P20" s="81">
        <v>0</v>
      </c>
      <c r="Q20" s="81">
        <v>0</v>
      </c>
      <c r="R20" s="81" t="e">
        <v>#VALUE!</v>
      </c>
      <c r="S20" s="81" t="e">
        <v>#VALUE!</v>
      </c>
      <c r="T20" s="81" t="e">
        <v>#VALUE!</v>
      </c>
      <c r="V20" s="250" t="e">
        <f>#REF!/'Inversion formato'!$H20</f>
        <v>#REF!</v>
      </c>
      <c r="W20" s="250" t="e">
        <f>#REF!/'Inversion formato'!$H20</f>
        <v>#REF!</v>
      </c>
      <c r="X20" s="250" t="e">
        <f>#REF!/'Inversion formato'!$H20</f>
        <v>#REF!</v>
      </c>
      <c r="Y20" s="250" t="e">
        <f>#REF!/'Inversion formato'!$H20</f>
        <v>#REF!</v>
      </c>
      <c r="Z20" s="250" t="e">
        <f>#REF!/'Inversion formato'!$H20</f>
        <v>#REF!</v>
      </c>
      <c r="AA20" s="250" t="e">
        <f>#REF!/'Inversion formato'!$H20</f>
        <v>#REF!</v>
      </c>
      <c r="AB20" s="250" t="e">
        <f>#REF!/'Inversion formato'!$H20</f>
        <v>#REF!</v>
      </c>
      <c r="AC20" s="250" t="e">
        <f>#REF!/'Inversion formato'!$H20</f>
        <v>#REF!</v>
      </c>
      <c r="AD20" s="250" t="e">
        <f>#REF!/'Inversion formato'!$H20</f>
        <v>#REF!</v>
      </c>
      <c r="AE20" s="250" t="e">
        <f>#REF!/'Inversion formato'!$H20</f>
        <v>#REF!</v>
      </c>
      <c r="AF20" s="250" t="e">
        <f>#REF!/'Inversion formato'!$H20</f>
        <v>#REF!</v>
      </c>
      <c r="AG20" s="251" t="e">
        <f t="shared" si="3"/>
        <v>#REF!</v>
      </c>
    </row>
    <row r="21" spans="1:33" ht="25.5" customHeight="1" outlineLevel="3">
      <c r="A21" s="79" t="e">
        <f>#REF!</f>
        <v>#REF!</v>
      </c>
      <c r="B21" s="80" t="e">
        <f>#REF!</f>
        <v>#REF!</v>
      </c>
      <c r="C21" s="81">
        <f t="shared" si="0"/>
        <v>2114276.9176488095</v>
      </c>
      <c r="D21" s="117">
        <f t="shared" si="2"/>
        <v>0.76367876404825852</v>
      </c>
      <c r="E21" s="81">
        <f t="shared" si="1"/>
        <v>1614628.3833258045</v>
      </c>
      <c r="F21" s="94" t="e">
        <f t="shared" si="4"/>
        <v>#REF!</v>
      </c>
      <c r="G21" s="23"/>
      <c r="H21" s="81" t="e">
        <f>#REF!</f>
        <v>#REF!</v>
      </c>
      <c r="I21" s="23"/>
      <c r="J21" s="81">
        <v>2114276.9176488095</v>
      </c>
      <c r="K21" s="81">
        <v>2114276.9176488095</v>
      </c>
      <c r="L21" s="81" t="e">
        <v>#VALUE!</v>
      </c>
      <c r="M21" s="81" t="e">
        <v>#VALUE!</v>
      </c>
      <c r="N21" s="81" t="e">
        <v>#VALUE!</v>
      </c>
      <c r="O21" s="118"/>
      <c r="P21" s="81">
        <v>1614628.3833258045</v>
      </c>
      <c r="Q21" s="81">
        <v>1614628.3833258045</v>
      </c>
      <c r="R21" s="81" t="e">
        <v>#VALUE!</v>
      </c>
      <c r="S21" s="81" t="e">
        <v>#VALUE!</v>
      </c>
      <c r="T21" s="81" t="e">
        <v>#VALUE!</v>
      </c>
      <c r="V21" s="250" t="e">
        <f>#REF!/'Inversion formato'!$H21</f>
        <v>#REF!</v>
      </c>
      <c r="W21" s="250" t="e">
        <f>#REF!/'Inversion formato'!$H21</f>
        <v>#REF!</v>
      </c>
      <c r="X21" s="250" t="e">
        <f>#REF!/'Inversion formato'!$H21</f>
        <v>#REF!</v>
      </c>
      <c r="Y21" s="250" t="e">
        <f>#REF!/'Inversion formato'!$H21</f>
        <v>#REF!</v>
      </c>
      <c r="Z21" s="250" t="e">
        <f>#REF!/'Inversion formato'!$H21</f>
        <v>#REF!</v>
      </c>
      <c r="AA21" s="250" t="e">
        <f>#REF!/'Inversion formato'!$H21</f>
        <v>#REF!</v>
      </c>
      <c r="AB21" s="250" t="e">
        <f>#REF!/'Inversion formato'!$H21</f>
        <v>#REF!</v>
      </c>
      <c r="AC21" s="250" t="e">
        <f>#REF!/'Inversion formato'!$H21</f>
        <v>#REF!</v>
      </c>
      <c r="AD21" s="250" t="e">
        <f>#REF!/'Inversion formato'!$H21</f>
        <v>#REF!</v>
      </c>
      <c r="AE21" s="250" t="e">
        <f>#REF!/'Inversion formato'!$H21</f>
        <v>#REF!</v>
      </c>
      <c r="AF21" s="250" t="e">
        <f>#REF!/'Inversion formato'!$H21</f>
        <v>#REF!</v>
      </c>
      <c r="AG21" s="251" t="e">
        <f t="shared" si="3"/>
        <v>#REF!</v>
      </c>
    </row>
    <row r="22" spans="1:33" ht="18.75" customHeight="1" outlineLevel="1">
      <c r="A22" s="1103" t="e">
        <f>#REF!</f>
        <v>#REF!</v>
      </c>
      <c r="B22" s="1104" t="e">
        <f>#REF!</f>
        <v>#REF!</v>
      </c>
      <c r="C22" s="1105">
        <f t="shared" si="0"/>
        <v>122551720.74338914</v>
      </c>
      <c r="D22" s="1106">
        <f t="shared" si="2"/>
        <v>0.80164944408894157</v>
      </c>
      <c r="E22" s="1105">
        <f t="shared" si="1"/>
        <v>98243518.806081116</v>
      </c>
      <c r="F22" s="1107" t="e">
        <f>H22/$H$8</f>
        <v>#REF!</v>
      </c>
      <c r="G22" s="23"/>
      <c r="H22" s="1105" t="e">
        <f>SUM(H23:H43)</f>
        <v>#REF!</v>
      </c>
      <c r="I22" s="23"/>
      <c r="J22" s="1105">
        <v>122551720.74338914</v>
      </c>
      <c r="K22" s="1105">
        <v>122551720.74338914</v>
      </c>
      <c r="L22" s="1105" t="e">
        <v>#VALUE!</v>
      </c>
      <c r="M22" s="1105" t="e">
        <v>#VALUE!</v>
      </c>
      <c r="N22" s="1105" t="e">
        <v>#VALUE!</v>
      </c>
      <c r="O22" s="118"/>
      <c r="P22" s="1105">
        <v>98243518.806081116</v>
      </c>
      <c r="Q22" s="1105">
        <v>98243518.806081116</v>
      </c>
      <c r="R22" s="1105" t="e">
        <v>#VALUE!</v>
      </c>
      <c r="S22" s="1105" t="e">
        <v>#VALUE!</v>
      </c>
      <c r="T22" s="1105" t="e">
        <v>#VALUE!</v>
      </c>
      <c r="V22" s="249" t="e">
        <f>#REF!/'Inversion formato'!$H22</f>
        <v>#REF!</v>
      </c>
      <c r="W22" s="249" t="e">
        <f>#REF!/'Inversion formato'!$H22</f>
        <v>#REF!</v>
      </c>
      <c r="X22" s="249" t="e">
        <f>#REF!/'Inversion formato'!$H22</f>
        <v>#REF!</v>
      </c>
      <c r="Y22" s="249" t="e">
        <f>#REF!/'Inversion formato'!$H22</f>
        <v>#REF!</v>
      </c>
      <c r="Z22" s="249" t="e">
        <f>#REF!/'Inversion formato'!$H22</f>
        <v>#REF!</v>
      </c>
      <c r="AA22" s="249" t="e">
        <f>#REF!/'Inversion formato'!$H22</f>
        <v>#REF!</v>
      </c>
      <c r="AB22" s="249" t="e">
        <f>#REF!/'Inversion formato'!$H22</f>
        <v>#REF!</v>
      </c>
      <c r="AC22" s="249" t="e">
        <f>#REF!/'Inversion formato'!$H22</f>
        <v>#REF!</v>
      </c>
      <c r="AD22" s="249" t="e">
        <f>#REF!/'Inversion formato'!$H22</f>
        <v>#REF!</v>
      </c>
      <c r="AE22" s="249" t="e">
        <f>#REF!/'Inversion formato'!$H22</f>
        <v>#REF!</v>
      </c>
      <c r="AF22" s="249" t="e">
        <f>#REF!/'Inversion formato'!$H22</f>
        <v>#REF!</v>
      </c>
      <c r="AG22" s="252" t="e">
        <f t="shared" si="3"/>
        <v>#REF!</v>
      </c>
    </row>
    <row r="23" spans="1:33" outlineLevel="2">
      <c r="A23" s="79" t="e">
        <f>#REF!</f>
        <v>#REF!</v>
      </c>
      <c r="B23" s="80" t="e">
        <f>#REF!</f>
        <v>#REF!</v>
      </c>
      <c r="C23" s="81">
        <f t="shared" si="0"/>
        <v>10427802</v>
      </c>
      <c r="D23" s="117">
        <f t="shared" si="2"/>
        <v>0.74678291033229016</v>
      </c>
      <c r="E23" s="81">
        <f t="shared" si="1"/>
        <v>7787304.3259288762</v>
      </c>
      <c r="F23" s="94" t="e">
        <f t="shared" ref="F23:F32" si="5">IF($H$22=0,0,H23/$H$22)</f>
        <v>#REF!</v>
      </c>
      <c r="G23" s="23"/>
      <c r="H23" s="81" t="e">
        <f>#REF!</f>
        <v>#REF!</v>
      </c>
      <c r="I23" s="23"/>
      <c r="J23" s="81">
        <v>10427802</v>
      </c>
      <c r="K23" s="81">
        <v>10427802</v>
      </c>
      <c r="L23" s="81" t="e">
        <v>#VALUE!</v>
      </c>
      <c r="M23" s="81" t="e">
        <v>#VALUE!</v>
      </c>
      <c r="N23" s="81" t="e">
        <v>#VALUE!</v>
      </c>
      <c r="O23" s="118"/>
      <c r="P23" s="81">
        <v>7787304.3259288762</v>
      </c>
      <c r="Q23" s="81">
        <v>7787304.3259288762</v>
      </c>
      <c r="R23" s="81" t="e">
        <v>#VALUE!</v>
      </c>
      <c r="S23" s="81" t="e">
        <v>#VALUE!</v>
      </c>
      <c r="T23" s="81" t="e">
        <v>#VALUE!</v>
      </c>
      <c r="V23" s="250" t="e">
        <f>#REF!/'Inversion formato'!$H23</f>
        <v>#REF!</v>
      </c>
      <c r="W23" s="250" t="e">
        <f>#REF!/'Inversion formato'!$H23</f>
        <v>#REF!</v>
      </c>
      <c r="X23" s="250" t="e">
        <f>#REF!/'Inversion formato'!$H23</f>
        <v>#REF!</v>
      </c>
      <c r="Y23" s="250" t="e">
        <f>#REF!/'Inversion formato'!$H23</f>
        <v>#REF!</v>
      </c>
      <c r="Z23" s="250" t="e">
        <f>#REF!/'Inversion formato'!$H23</f>
        <v>#REF!</v>
      </c>
      <c r="AA23" s="250" t="e">
        <f>#REF!/'Inversion formato'!$H23</f>
        <v>#REF!</v>
      </c>
      <c r="AB23" s="250" t="e">
        <f>#REF!/'Inversion formato'!$H23</f>
        <v>#REF!</v>
      </c>
      <c r="AC23" s="250" t="e">
        <f>#REF!/'Inversion formato'!$H23</f>
        <v>#REF!</v>
      </c>
      <c r="AD23" s="250" t="e">
        <f>#REF!/'Inversion formato'!$H23</f>
        <v>#REF!</v>
      </c>
      <c r="AE23" s="250" t="e">
        <f>#REF!/'Inversion formato'!$H23</f>
        <v>#REF!</v>
      </c>
      <c r="AF23" s="250" t="e">
        <f>#REF!/'Inversion formato'!$H23</f>
        <v>#REF!</v>
      </c>
      <c r="AG23" s="251" t="e">
        <f t="shared" si="3"/>
        <v>#REF!</v>
      </c>
    </row>
    <row r="24" spans="1:33" ht="18.75" customHeight="1" outlineLevel="2">
      <c r="A24" s="79" t="e">
        <f>#REF!</f>
        <v>#REF!</v>
      </c>
      <c r="B24" s="80" t="e">
        <f>#REF!</f>
        <v>#REF!</v>
      </c>
      <c r="C24" s="81">
        <f t="shared" si="0"/>
        <v>73739536.199999988</v>
      </c>
      <c r="D24" s="117">
        <f t="shared" si="2"/>
        <v>0.8171912832929783</v>
      </c>
      <c r="E24" s="81">
        <f t="shared" si="1"/>
        <v>60259306.216707021</v>
      </c>
      <c r="F24" s="94" t="e">
        <f t="shared" si="5"/>
        <v>#REF!</v>
      </c>
      <c r="G24" s="23"/>
      <c r="H24" s="81" t="e">
        <f>#REF!</f>
        <v>#REF!</v>
      </c>
      <c r="I24" s="23"/>
      <c r="J24" s="81">
        <v>73739536.199999988</v>
      </c>
      <c r="K24" s="81">
        <v>73739536.199999988</v>
      </c>
      <c r="L24" s="81" t="e">
        <v>#VALUE!</v>
      </c>
      <c r="M24" s="81" t="e">
        <v>#VALUE!</v>
      </c>
      <c r="N24" s="81" t="e">
        <v>#VALUE!</v>
      </c>
      <c r="O24" s="118"/>
      <c r="P24" s="81">
        <v>60259306.216707021</v>
      </c>
      <c r="Q24" s="81">
        <v>60259306.216707021</v>
      </c>
      <c r="R24" s="81" t="e">
        <v>#VALUE!</v>
      </c>
      <c r="S24" s="81" t="e">
        <v>#VALUE!</v>
      </c>
      <c r="T24" s="81" t="e">
        <v>#VALUE!</v>
      </c>
      <c r="V24" s="250" t="e">
        <f>#REF!/'Inversion formato'!$H24</f>
        <v>#REF!</v>
      </c>
      <c r="W24" s="250" t="e">
        <f>#REF!/'Inversion formato'!$H24</f>
        <v>#REF!</v>
      </c>
      <c r="X24" s="250" t="e">
        <f>#REF!/'Inversion formato'!$H24</f>
        <v>#REF!</v>
      </c>
      <c r="Y24" s="250" t="e">
        <f>#REF!/'Inversion formato'!$H24</f>
        <v>#REF!</v>
      </c>
      <c r="Z24" s="250" t="e">
        <f>#REF!/'Inversion formato'!$H24</f>
        <v>#REF!</v>
      </c>
      <c r="AA24" s="250" t="e">
        <f>#REF!/'Inversion formato'!$H24</f>
        <v>#REF!</v>
      </c>
      <c r="AB24" s="250" t="e">
        <f>#REF!/'Inversion formato'!$H24</f>
        <v>#REF!</v>
      </c>
      <c r="AC24" s="250" t="e">
        <f>#REF!/'Inversion formato'!$H24</f>
        <v>#REF!</v>
      </c>
      <c r="AD24" s="250" t="e">
        <f>#REF!/'Inversion formato'!$H24</f>
        <v>#REF!</v>
      </c>
      <c r="AE24" s="250" t="e">
        <f>#REF!/'Inversion formato'!$H24</f>
        <v>#REF!</v>
      </c>
      <c r="AF24" s="250" t="e">
        <f>#REF!/'Inversion formato'!$H24</f>
        <v>#REF!</v>
      </c>
      <c r="AG24" s="251" t="e">
        <f t="shared" si="3"/>
        <v>#REF!</v>
      </c>
    </row>
    <row r="25" spans="1:33" outlineLevel="2">
      <c r="A25" s="79" t="e">
        <f>#REF!</f>
        <v>#REF!</v>
      </c>
      <c r="B25" s="80" t="e">
        <f>#REF!</f>
        <v>#REF!</v>
      </c>
      <c r="C25" s="81">
        <f t="shared" si="0"/>
        <v>3538158.3641666668</v>
      </c>
      <c r="D25" s="117">
        <f t="shared" si="2"/>
        <v>0.76805398891607102</v>
      </c>
      <c r="E25" s="81">
        <f t="shared" si="1"/>
        <v>2717496.6450149692</v>
      </c>
      <c r="F25" s="94" t="e">
        <f t="shared" si="5"/>
        <v>#REF!</v>
      </c>
      <c r="G25" s="23"/>
      <c r="H25" s="81" t="e">
        <f>#REF!</f>
        <v>#REF!</v>
      </c>
      <c r="I25" s="23"/>
      <c r="J25" s="81">
        <v>3538158.3641666668</v>
      </c>
      <c r="K25" s="81">
        <v>3538158.3641666668</v>
      </c>
      <c r="L25" s="81" t="e">
        <v>#VALUE!</v>
      </c>
      <c r="M25" s="81" t="e">
        <v>#VALUE!</v>
      </c>
      <c r="N25" s="81" t="e">
        <v>#VALUE!</v>
      </c>
      <c r="O25" s="118"/>
      <c r="P25" s="81">
        <v>2717496.6450149692</v>
      </c>
      <c r="Q25" s="81">
        <v>2717496.6450149692</v>
      </c>
      <c r="R25" s="81" t="e">
        <v>#VALUE!</v>
      </c>
      <c r="S25" s="81" t="e">
        <v>#VALUE!</v>
      </c>
      <c r="T25" s="81" t="e">
        <v>#VALUE!</v>
      </c>
      <c r="V25" s="250" t="e">
        <f>#REF!/'Inversion formato'!$H25</f>
        <v>#REF!</v>
      </c>
      <c r="W25" s="250" t="e">
        <f>#REF!/'Inversion formato'!$H25</f>
        <v>#REF!</v>
      </c>
      <c r="X25" s="250" t="e">
        <f>#REF!/'Inversion formato'!$H25</f>
        <v>#REF!</v>
      </c>
      <c r="Y25" s="250" t="e">
        <f>#REF!/'Inversion formato'!$H25</f>
        <v>#REF!</v>
      </c>
      <c r="Z25" s="250" t="e">
        <f>#REF!/'Inversion formato'!$H25</f>
        <v>#REF!</v>
      </c>
      <c r="AA25" s="250" t="e">
        <f>#REF!/'Inversion formato'!$H25</f>
        <v>#REF!</v>
      </c>
      <c r="AB25" s="250" t="e">
        <f>#REF!/'Inversion formato'!$H25</f>
        <v>#REF!</v>
      </c>
      <c r="AC25" s="250" t="e">
        <f>#REF!/'Inversion formato'!$H25</f>
        <v>#REF!</v>
      </c>
      <c r="AD25" s="250" t="e">
        <f>#REF!/'Inversion formato'!$H25</f>
        <v>#REF!</v>
      </c>
      <c r="AE25" s="250" t="e">
        <f>#REF!/'Inversion formato'!$H25</f>
        <v>#REF!</v>
      </c>
      <c r="AF25" s="250" t="e">
        <f>#REF!/'Inversion formato'!$H25</f>
        <v>#REF!</v>
      </c>
      <c r="AG25" s="251" t="e">
        <f t="shared" si="3"/>
        <v>#REF!</v>
      </c>
    </row>
    <row r="26" spans="1:33" outlineLevel="2">
      <c r="A26" s="79" t="e">
        <f>#REF!</f>
        <v>#REF!</v>
      </c>
      <c r="B26" s="80" t="e">
        <f>#REF!</f>
        <v>#REF!</v>
      </c>
      <c r="C26" s="81">
        <f t="shared" si="0"/>
        <v>1005200</v>
      </c>
      <c r="D26" s="117">
        <f t="shared" si="2"/>
        <v>0.84745762711864414</v>
      </c>
      <c r="E26" s="81">
        <f t="shared" si="1"/>
        <v>851864.40677966108</v>
      </c>
      <c r="F26" s="94" t="e">
        <f t="shared" si="5"/>
        <v>#REF!</v>
      </c>
      <c r="G26" s="23"/>
      <c r="H26" s="81" t="e">
        <f>#REF!</f>
        <v>#REF!</v>
      </c>
      <c r="I26" s="23"/>
      <c r="J26" s="81">
        <v>1005200</v>
      </c>
      <c r="K26" s="81">
        <v>1005200</v>
      </c>
      <c r="L26" s="81" t="e">
        <v>#VALUE!</v>
      </c>
      <c r="M26" s="81" t="e">
        <v>#VALUE!</v>
      </c>
      <c r="N26" s="81" t="e">
        <v>#VALUE!</v>
      </c>
      <c r="O26" s="118"/>
      <c r="P26" s="81">
        <v>851864.40677966108</v>
      </c>
      <c r="Q26" s="81">
        <v>851864.40677966108</v>
      </c>
      <c r="R26" s="81" t="e">
        <v>#VALUE!</v>
      </c>
      <c r="S26" s="81" t="e">
        <v>#VALUE!</v>
      </c>
      <c r="T26" s="81" t="e">
        <v>#VALUE!</v>
      </c>
      <c r="V26" s="250" t="e">
        <f>#REF!/'Inversion formato'!$H26</f>
        <v>#REF!</v>
      </c>
      <c r="W26" s="250" t="e">
        <f>#REF!/'Inversion formato'!$H26</f>
        <v>#REF!</v>
      </c>
      <c r="X26" s="250" t="e">
        <f>#REF!/'Inversion formato'!$H26</f>
        <v>#REF!</v>
      </c>
      <c r="Y26" s="250" t="e">
        <f>#REF!/'Inversion formato'!$H26</f>
        <v>#REF!</v>
      </c>
      <c r="Z26" s="250" t="e">
        <f>#REF!/'Inversion formato'!$H26</f>
        <v>#REF!</v>
      </c>
      <c r="AA26" s="250" t="e">
        <f>#REF!/'Inversion formato'!$H26</f>
        <v>#REF!</v>
      </c>
      <c r="AB26" s="250" t="e">
        <f>#REF!/'Inversion formato'!$H26</f>
        <v>#REF!</v>
      </c>
      <c r="AC26" s="250" t="e">
        <f>#REF!/'Inversion formato'!$H26</f>
        <v>#REF!</v>
      </c>
      <c r="AD26" s="250" t="e">
        <f>#REF!/'Inversion formato'!$H26</f>
        <v>#REF!</v>
      </c>
      <c r="AE26" s="250" t="e">
        <f>#REF!/'Inversion formato'!$H26</f>
        <v>#REF!</v>
      </c>
      <c r="AF26" s="250" t="e">
        <f>#REF!/'Inversion formato'!$H26</f>
        <v>#REF!</v>
      </c>
      <c r="AG26" s="251" t="e">
        <f t="shared" si="3"/>
        <v>#REF!</v>
      </c>
    </row>
    <row r="27" spans="1:33" outlineLevel="2">
      <c r="A27" s="79" t="e">
        <f>#REF!</f>
        <v>#REF!</v>
      </c>
      <c r="B27" s="80" t="e">
        <f>#REF!</f>
        <v>#REF!</v>
      </c>
      <c r="C27" s="81">
        <f t="shared" si="0"/>
        <v>583689.67343750002</v>
      </c>
      <c r="D27" s="117">
        <f t="shared" si="2"/>
        <v>0.76532386796144769</v>
      </c>
      <c r="E27" s="81">
        <f t="shared" si="1"/>
        <v>446711.63856434176</v>
      </c>
      <c r="F27" s="94" t="e">
        <f t="shared" si="5"/>
        <v>#REF!</v>
      </c>
      <c r="G27" s="23"/>
      <c r="H27" s="81" t="e">
        <f>#REF!</f>
        <v>#REF!</v>
      </c>
      <c r="I27" s="23"/>
      <c r="J27" s="81">
        <v>583689.67343750002</v>
      </c>
      <c r="K27" s="81">
        <v>583689.67343750002</v>
      </c>
      <c r="L27" s="81" t="e">
        <v>#VALUE!</v>
      </c>
      <c r="M27" s="81" t="e">
        <v>#VALUE!</v>
      </c>
      <c r="N27" s="81" t="e">
        <v>#VALUE!</v>
      </c>
      <c r="O27" s="118"/>
      <c r="P27" s="81">
        <v>446711.63856434176</v>
      </c>
      <c r="Q27" s="81">
        <v>446711.63856434176</v>
      </c>
      <c r="R27" s="81" t="e">
        <v>#VALUE!</v>
      </c>
      <c r="S27" s="81" t="e">
        <v>#VALUE!</v>
      </c>
      <c r="T27" s="81" t="e">
        <v>#VALUE!</v>
      </c>
      <c r="V27" s="250" t="e">
        <f>#REF!/'Inversion formato'!$H27</f>
        <v>#REF!</v>
      </c>
      <c r="W27" s="250" t="e">
        <f>#REF!/'Inversion formato'!$H27</f>
        <v>#REF!</v>
      </c>
      <c r="X27" s="250" t="e">
        <f>#REF!/'Inversion formato'!$H27</f>
        <v>#REF!</v>
      </c>
      <c r="Y27" s="250" t="e">
        <f>#REF!/'Inversion formato'!$H27</f>
        <v>#REF!</v>
      </c>
      <c r="Z27" s="250" t="e">
        <f>#REF!/'Inversion formato'!$H27</f>
        <v>#REF!</v>
      </c>
      <c r="AA27" s="250" t="e">
        <f>#REF!/'Inversion formato'!$H27</f>
        <v>#REF!</v>
      </c>
      <c r="AB27" s="250" t="e">
        <f>#REF!/'Inversion formato'!$H27</f>
        <v>#REF!</v>
      </c>
      <c r="AC27" s="250" t="e">
        <f>#REF!/'Inversion formato'!$H27</f>
        <v>#REF!</v>
      </c>
      <c r="AD27" s="250" t="e">
        <f>#REF!/'Inversion formato'!$H27</f>
        <v>#REF!</v>
      </c>
      <c r="AE27" s="250" t="e">
        <f>#REF!/'Inversion formato'!$H27</f>
        <v>#REF!</v>
      </c>
      <c r="AF27" s="250" t="e">
        <f>#REF!/'Inversion formato'!$H27</f>
        <v>#REF!</v>
      </c>
      <c r="AG27" s="251" t="e">
        <f t="shared" si="3"/>
        <v>#REF!</v>
      </c>
    </row>
    <row r="28" spans="1:33" outlineLevel="3">
      <c r="A28" s="79" t="e">
        <f>#REF!</f>
        <v>#REF!</v>
      </c>
      <c r="B28" s="80" t="e">
        <f>#REF!</f>
        <v>#REF!</v>
      </c>
      <c r="C28" s="81">
        <f t="shared" si="0"/>
        <v>1065793.3409077381</v>
      </c>
      <c r="D28" s="117">
        <f>IF(C28=0,"n/d",E28/C28)</f>
        <v>0.76334448885398487</v>
      </c>
      <c r="E28" s="81">
        <f>CHOOSE(Muestra_Alt,P28,Q28,R28,S28,T28)</f>
        <v>813567.4730391982</v>
      </c>
      <c r="F28" s="94" t="e">
        <f t="shared" si="5"/>
        <v>#REF!</v>
      </c>
      <c r="G28" s="23"/>
      <c r="H28" s="81" t="e">
        <f>#REF!</f>
        <v>#REF!</v>
      </c>
      <c r="I28" s="23"/>
      <c r="J28" s="81">
        <v>1065793.3409077381</v>
      </c>
      <c r="K28" s="81">
        <v>1065793.3409077381</v>
      </c>
      <c r="L28" s="81" t="e">
        <v>#VALUE!</v>
      </c>
      <c r="M28" s="81" t="e">
        <v>#VALUE!</v>
      </c>
      <c r="N28" s="81" t="e">
        <v>#VALUE!</v>
      </c>
      <c r="O28" s="118"/>
      <c r="P28" s="81">
        <v>813567.4730391982</v>
      </c>
      <c r="Q28" s="81">
        <v>813567.4730391982</v>
      </c>
      <c r="R28" s="81" t="e">
        <v>#VALUE!</v>
      </c>
      <c r="S28" s="81" t="e">
        <v>#VALUE!</v>
      </c>
      <c r="T28" s="81" t="e">
        <v>#VALUE!</v>
      </c>
      <c r="V28" s="250" t="e">
        <f>#REF!/'Inversion formato'!$H28</f>
        <v>#REF!</v>
      </c>
      <c r="W28" s="250" t="e">
        <f>#REF!/'Inversion formato'!$H28</f>
        <v>#REF!</v>
      </c>
      <c r="X28" s="250" t="e">
        <f>#REF!/'Inversion formato'!$H28</f>
        <v>#REF!</v>
      </c>
      <c r="Y28" s="250" t="e">
        <f>#REF!/'Inversion formato'!$H28</f>
        <v>#REF!</v>
      </c>
      <c r="Z28" s="250" t="e">
        <f>#REF!/'Inversion formato'!$H28</f>
        <v>#REF!</v>
      </c>
      <c r="AA28" s="250" t="e">
        <f>#REF!/'Inversion formato'!$H28</f>
        <v>#REF!</v>
      </c>
      <c r="AB28" s="250" t="e">
        <f>#REF!/'Inversion formato'!$H28</f>
        <v>#REF!</v>
      </c>
      <c r="AC28" s="250" t="e">
        <f>#REF!/'Inversion formato'!$H28</f>
        <v>#REF!</v>
      </c>
      <c r="AD28" s="250" t="e">
        <f>#REF!/'Inversion formato'!$H28</f>
        <v>#REF!</v>
      </c>
      <c r="AE28" s="250" t="e">
        <f>#REF!/'Inversion formato'!$H28</f>
        <v>#REF!</v>
      </c>
      <c r="AF28" s="250" t="e">
        <f>#REF!/'Inversion formato'!$H28</f>
        <v>#REF!</v>
      </c>
      <c r="AG28" s="251" t="e">
        <f t="shared" si="3"/>
        <v>#REF!</v>
      </c>
    </row>
    <row r="29" spans="1:33" outlineLevel="3">
      <c r="A29" s="79" t="e">
        <f>#REF!</f>
        <v>#REF!</v>
      </c>
      <c r="B29" s="80" t="e">
        <f>#REF!</f>
        <v>#REF!</v>
      </c>
      <c r="C29" s="81">
        <f t="shared" si="0"/>
        <v>1053043.1766369047</v>
      </c>
      <c r="D29" s="117">
        <f>IF(C29=0,"n/d",E29/C29)</f>
        <v>0.76431037218048914</v>
      </c>
      <c r="E29" s="81">
        <f>CHOOSE(Muestra_Alt,P29,Q29,R29,S29,T29)</f>
        <v>804851.82225747721</v>
      </c>
      <c r="F29" s="94" t="e">
        <f t="shared" si="5"/>
        <v>#REF!</v>
      </c>
      <c r="G29" s="23"/>
      <c r="H29" s="81" t="e">
        <f>#REF!</f>
        <v>#REF!</v>
      </c>
      <c r="I29" s="23"/>
      <c r="J29" s="81">
        <v>1053043.1766369047</v>
      </c>
      <c r="K29" s="81">
        <v>1053043.1766369047</v>
      </c>
      <c r="L29" s="81" t="e">
        <v>#VALUE!</v>
      </c>
      <c r="M29" s="81" t="e">
        <v>#VALUE!</v>
      </c>
      <c r="N29" s="81" t="e">
        <v>#VALUE!</v>
      </c>
      <c r="O29" s="118"/>
      <c r="P29" s="81">
        <v>804851.82225747721</v>
      </c>
      <c r="Q29" s="81">
        <v>804851.82225747721</v>
      </c>
      <c r="R29" s="81" t="e">
        <v>#VALUE!</v>
      </c>
      <c r="S29" s="81" t="e">
        <v>#VALUE!</v>
      </c>
      <c r="T29" s="81" t="e">
        <v>#VALUE!</v>
      </c>
      <c r="V29" s="250" t="e">
        <f>#REF!/'Inversion formato'!$H29</f>
        <v>#REF!</v>
      </c>
      <c r="W29" s="250" t="e">
        <f>#REF!/'Inversion formato'!$H29</f>
        <v>#REF!</v>
      </c>
      <c r="X29" s="250" t="e">
        <f>#REF!/'Inversion formato'!$H29</f>
        <v>#REF!</v>
      </c>
      <c r="Y29" s="250" t="e">
        <f>#REF!/'Inversion formato'!$H29</f>
        <v>#REF!</v>
      </c>
      <c r="Z29" s="250" t="e">
        <f>#REF!/'Inversion formato'!$H29</f>
        <v>#REF!</v>
      </c>
      <c r="AA29" s="250" t="e">
        <f>#REF!/'Inversion formato'!$H29</f>
        <v>#REF!</v>
      </c>
      <c r="AB29" s="250" t="e">
        <f>#REF!/'Inversion formato'!$H29</f>
        <v>#REF!</v>
      </c>
      <c r="AC29" s="250" t="e">
        <f>#REF!/'Inversion formato'!$H29</f>
        <v>#REF!</v>
      </c>
      <c r="AD29" s="250" t="e">
        <f>#REF!/'Inversion formato'!$H29</f>
        <v>#REF!</v>
      </c>
      <c r="AE29" s="250" t="e">
        <f>#REF!/'Inversion formato'!$H29</f>
        <v>#REF!</v>
      </c>
      <c r="AF29" s="250" t="e">
        <f>#REF!/'Inversion formato'!$H29</f>
        <v>#REF!</v>
      </c>
      <c r="AG29" s="251" t="e">
        <f t="shared" si="3"/>
        <v>#REF!</v>
      </c>
    </row>
    <row r="30" spans="1:33" outlineLevel="3">
      <c r="A30" s="79" t="e">
        <f>#REF!</f>
        <v>#REF!</v>
      </c>
      <c r="B30" s="80" t="e">
        <f>#REF!</f>
        <v>#REF!</v>
      </c>
      <c r="C30" s="81">
        <f t="shared" si="0"/>
        <v>1483784.8085119049</v>
      </c>
      <c r="D30" s="117">
        <f>IF(C30=0,"n/d",E30/C30)</f>
        <v>0.76433513927886376</v>
      </c>
      <c r="E30" s="81">
        <f>CHOOSE(Muestra_Alt,P30,Q30,R30,S30,T30)</f>
        <v>1134108.8682738091</v>
      </c>
      <c r="F30" s="94" t="e">
        <f t="shared" si="5"/>
        <v>#REF!</v>
      </c>
      <c r="G30" s="23"/>
      <c r="H30" s="81" t="e">
        <f>#REF!</f>
        <v>#REF!</v>
      </c>
      <c r="I30" s="23"/>
      <c r="J30" s="81">
        <v>1483784.8085119049</v>
      </c>
      <c r="K30" s="81">
        <v>1483784.8085119049</v>
      </c>
      <c r="L30" s="81" t="e">
        <v>#VALUE!</v>
      </c>
      <c r="M30" s="81" t="e">
        <v>#VALUE!</v>
      </c>
      <c r="N30" s="81" t="e">
        <v>#VALUE!</v>
      </c>
      <c r="O30" s="118"/>
      <c r="P30" s="81">
        <v>1134108.8682738091</v>
      </c>
      <c r="Q30" s="81">
        <v>1134108.8682738091</v>
      </c>
      <c r="R30" s="81" t="e">
        <v>#VALUE!</v>
      </c>
      <c r="S30" s="81" t="e">
        <v>#VALUE!</v>
      </c>
      <c r="T30" s="81" t="e">
        <v>#VALUE!</v>
      </c>
      <c r="V30" s="250" t="e">
        <f>#REF!/'Inversion formato'!$H30</f>
        <v>#REF!</v>
      </c>
      <c r="W30" s="250" t="e">
        <f>#REF!/'Inversion formato'!$H30</f>
        <v>#REF!</v>
      </c>
      <c r="X30" s="250" t="e">
        <f>#REF!/'Inversion formato'!$H30</f>
        <v>#REF!</v>
      </c>
      <c r="Y30" s="250" t="e">
        <f>#REF!/'Inversion formato'!$H30</f>
        <v>#REF!</v>
      </c>
      <c r="Z30" s="250" t="e">
        <f>#REF!/'Inversion formato'!$H30</f>
        <v>#REF!</v>
      </c>
      <c r="AA30" s="250" t="e">
        <f>#REF!/'Inversion formato'!$H30</f>
        <v>#REF!</v>
      </c>
      <c r="AB30" s="250" t="e">
        <f>#REF!/'Inversion formato'!$H30</f>
        <v>#REF!</v>
      </c>
      <c r="AC30" s="250" t="e">
        <f>#REF!/'Inversion formato'!$H30</f>
        <v>#REF!</v>
      </c>
      <c r="AD30" s="250" t="e">
        <f>#REF!/'Inversion formato'!$H30</f>
        <v>#REF!</v>
      </c>
      <c r="AE30" s="250" t="e">
        <f>#REF!/'Inversion formato'!$H30</f>
        <v>#REF!</v>
      </c>
      <c r="AF30" s="250" t="e">
        <f>#REF!/'Inversion formato'!$H30</f>
        <v>#REF!</v>
      </c>
      <c r="AG30" s="251" t="e">
        <f t="shared" si="3"/>
        <v>#REF!</v>
      </c>
    </row>
    <row r="31" spans="1:33" outlineLevel="3">
      <c r="A31" s="79" t="e">
        <f>#REF!</f>
        <v>#REF!</v>
      </c>
      <c r="B31" s="80" t="e">
        <f>#REF!</f>
        <v>#REF!</v>
      </c>
      <c r="C31" s="81">
        <f t="shared" si="0"/>
        <v>1201445.7265029764</v>
      </c>
      <c r="D31" s="117">
        <f>IF(C31=0,"n/d",E31/C31)</f>
        <v>0.76410841600609436</v>
      </c>
      <c r="E31" s="81">
        <f>CHOOSE(Muestra_Alt,P31,Q31,R31,S31,T31)</f>
        <v>918034.79099548049</v>
      </c>
      <c r="F31" s="94" t="e">
        <f t="shared" si="5"/>
        <v>#REF!</v>
      </c>
      <c r="G31" s="23"/>
      <c r="H31" s="81" t="e">
        <f>#REF!</f>
        <v>#REF!</v>
      </c>
      <c r="I31" s="23"/>
      <c r="J31" s="81">
        <v>1201445.7265029764</v>
      </c>
      <c r="K31" s="81">
        <v>1201445.7265029764</v>
      </c>
      <c r="L31" s="81" t="e">
        <v>#VALUE!</v>
      </c>
      <c r="M31" s="81" t="e">
        <v>#VALUE!</v>
      </c>
      <c r="N31" s="81" t="e">
        <v>#VALUE!</v>
      </c>
      <c r="O31" s="118"/>
      <c r="P31" s="81">
        <v>918034.79099548049</v>
      </c>
      <c r="Q31" s="81">
        <v>918034.79099548049</v>
      </c>
      <c r="R31" s="81" t="e">
        <v>#VALUE!</v>
      </c>
      <c r="S31" s="81" t="e">
        <v>#VALUE!</v>
      </c>
      <c r="T31" s="81" t="e">
        <v>#VALUE!</v>
      </c>
      <c r="V31" s="250" t="e">
        <f>#REF!/'Inversion formato'!$H31</f>
        <v>#REF!</v>
      </c>
      <c r="W31" s="250" t="e">
        <f>#REF!/'Inversion formato'!$H31</f>
        <v>#REF!</v>
      </c>
      <c r="X31" s="250" t="e">
        <f>#REF!/'Inversion formato'!$H31</f>
        <v>#REF!</v>
      </c>
      <c r="Y31" s="250" t="e">
        <f>#REF!/'Inversion formato'!$H31</f>
        <v>#REF!</v>
      </c>
      <c r="Z31" s="250" t="e">
        <f>#REF!/'Inversion formato'!$H31</f>
        <v>#REF!</v>
      </c>
      <c r="AA31" s="250" t="e">
        <f>#REF!/'Inversion formato'!$H31</f>
        <v>#REF!</v>
      </c>
      <c r="AB31" s="250" t="e">
        <f>#REF!/'Inversion formato'!$H31</f>
        <v>#REF!</v>
      </c>
      <c r="AC31" s="250" t="e">
        <f>#REF!/'Inversion formato'!$H31</f>
        <v>#REF!</v>
      </c>
      <c r="AD31" s="250" t="e">
        <f>#REF!/'Inversion formato'!$H31</f>
        <v>#REF!</v>
      </c>
      <c r="AE31" s="250" t="e">
        <f>#REF!/'Inversion formato'!$H31</f>
        <v>#REF!</v>
      </c>
      <c r="AF31" s="250" t="e">
        <f>#REF!/'Inversion formato'!$H31</f>
        <v>#REF!</v>
      </c>
      <c r="AG31" s="251" t="e">
        <f t="shared" si="3"/>
        <v>#REF!</v>
      </c>
    </row>
    <row r="32" spans="1:33" outlineLevel="3">
      <c r="A32" s="79" t="e">
        <f>#REF!</f>
        <v>#REF!</v>
      </c>
      <c r="B32" s="80" t="e">
        <f>#REF!</f>
        <v>#REF!</v>
      </c>
      <c r="C32" s="81">
        <f t="shared" si="0"/>
        <v>3530578.8255654769</v>
      </c>
      <c r="D32" s="117">
        <f>IF(C32=0,"n/d",E32/C32)</f>
        <v>0.76574097541618724</v>
      </c>
      <c r="E32" s="81">
        <f>CHOOSE(Muestra_Alt,P32,Q32,R32,S32,T32)</f>
        <v>2703508.8736722451</v>
      </c>
      <c r="F32" s="94" t="e">
        <f t="shared" si="5"/>
        <v>#REF!</v>
      </c>
      <c r="G32" s="23"/>
      <c r="H32" s="81" t="e">
        <f>#REF!</f>
        <v>#REF!</v>
      </c>
      <c r="I32" s="23"/>
      <c r="J32" s="81">
        <v>3530578.8255654769</v>
      </c>
      <c r="K32" s="81">
        <v>3530578.8255654769</v>
      </c>
      <c r="L32" s="81" t="e">
        <v>#VALUE!</v>
      </c>
      <c r="M32" s="81" t="e">
        <v>#VALUE!</v>
      </c>
      <c r="N32" s="81" t="e">
        <v>#VALUE!</v>
      </c>
      <c r="O32" s="118"/>
      <c r="P32" s="81">
        <v>2703508.8736722451</v>
      </c>
      <c r="Q32" s="81">
        <v>2703508.8736722451</v>
      </c>
      <c r="R32" s="81" t="e">
        <v>#VALUE!</v>
      </c>
      <c r="S32" s="81" t="e">
        <v>#VALUE!</v>
      </c>
      <c r="T32" s="81" t="e">
        <v>#VALUE!</v>
      </c>
      <c r="V32" s="250" t="e">
        <f>#REF!/'Inversion formato'!$H32</f>
        <v>#REF!</v>
      </c>
      <c r="W32" s="250" t="e">
        <f>#REF!/'Inversion formato'!$H32</f>
        <v>#REF!</v>
      </c>
      <c r="X32" s="250" t="e">
        <f>#REF!/'Inversion formato'!$H32</f>
        <v>#REF!</v>
      </c>
      <c r="Y32" s="250" t="e">
        <f>#REF!/'Inversion formato'!$H32</f>
        <v>#REF!</v>
      </c>
      <c r="Z32" s="250" t="e">
        <f>#REF!/'Inversion formato'!$H32</f>
        <v>#REF!</v>
      </c>
      <c r="AA32" s="250" t="e">
        <f>#REF!/'Inversion formato'!$H32</f>
        <v>#REF!</v>
      </c>
      <c r="AB32" s="250" t="e">
        <f>#REF!/'Inversion formato'!$H32</f>
        <v>#REF!</v>
      </c>
      <c r="AC32" s="250" t="e">
        <f>#REF!/'Inversion formato'!$H32</f>
        <v>#REF!</v>
      </c>
      <c r="AD32" s="250" t="e">
        <f>#REF!/'Inversion formato'!$H32</f>
        <v>#REF!</v>
      </c>
      <c r="AE32" s="250" t="e">
        <f>#REF!/'Inversion formato'!$H32</f>
        <v>#REF!</v>
      </c>
      <c r="AF32" s="250" t="e">
        <f>#REF!/'Inversion formato'!$H32</f>
        <v>#REF!</v>
      </c>
      <c r="AG32" s="251" t="e">
        <f t="shared" si="3"/>
        <v>#REF!</v>
      </c>
    </row>
    <row r="33" spans="1:33" ht="9" customHeight="1" outlineLevel="1">
      <c r="A33" s="1103"/>
      <c r="B33" s="1104"/>
      <c r="C33" s="1105"/>
      <c r="D33" s="1106"/>
      <c r="E33" s="1105"/>
      <c r="F33" s="1107"/>
      <c r="G33" s="23"/>
      <c r="H33" s="1105"/>
      <c r="I33" s="23"/>
      <c r="J33" s="1105"/>
      <c r="K33" s="1105"/>
      <c r="L33" s="1105"/>
      <c r="M33" s="1105"/>
      <c r="N33" s="1105"/>
      <c r="O33" s="118"/>
      <c r="P33" s="1105"/>
      <c r="Q33" s="1105"/>
      <c r="R33" s="1105"/>
      <c r="S33" s="1105"/>
      <c r="T33" s="1105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1"/>
    </row>
    <row r="34" spans="1:33" ht="25.5" customHeight="1" outlineLevel="2">
      <c r="A34" s="79" t="e">
        <f>#REF!</f>
        <v>#REF!</v>
      </c>
      <c r="B34" s="80" t="e">
        <f>#REF!</f>
        <v>#REF!</v>
      </c>
      <c r="C34" s="81">
        <f t="shared" si="0"/>
        <v>2044304.2962400001</v>
      </c>
      <c r="D34" s="117">
        <f t="shared" si="2"/>
        <v>0.76084356195097391</v>
      </c>
      <c r="E34" s="81">
        <f t="shared" si="1"/>
        <v>1555395.7624629205</v>
      </c>
      <c r="F34" s="94" t="e">
        <f>IF(H22=0,0,H34/$H$22)</f>
        <v>#REF!</v>
      </c>
      <c r="G34" s="23"/>
      <c r="H34" s="81" t="e">
        <f>#REF!</f>
        <v>#REF!</v>
      </c>
      <c r="I34" s="23"/>
      <c r="J34" s="81">
        <v>2044304.2962400001</v>
      </c>
      <c r="K34" s="81">
        <v>2044304.2962400001</v>
      </c>
      <c r="L34" s="81" t="e">
        <v>#VALUE!</v>
      </c>
      <c r="M34" s="81" t="e">
        <v>#VALUE!</v>
      </c>
      <c r="N34" s="81" t="e">
        <v>#VALUE!</v>
      </c>
      <c r="O34" s="118"/>
      <c r="P34" s="81">
        <v>1555395.7624629205</v>
      </c>
      <c r="Q34" s="81">
        <v>1555395.7624629205</v>
      </c>
      <c r="R34" s="81" t="e">
        <v>#VALUE!</v>
      </c>
      <c r="S34" s="81" t="e">
        <v>#VALUE!</v>
      </c>
      <c r="T34" s="81" t="e">
        <v>#VALUE!</v>
      </c>
      <c r="V34" s="250" t="e">
        <f>#REF!/'Inversion formato'!$H34</f>
        <v>#REF!</v>
      </c>
      <c r="W34" s="250" t="e">
        <f>#REF!/'Inversion formato'!$H34</f>
        <v>#REF!</v>
      </c>
      <c r="X34" s="250" t="e">
        <f>#REF!/'Inversion formato'!$H34</f>
        <v>#REF!</v>
      </c>
      <c r="Y34" s="250" t="e">
        <f>#REF!/'Inversion formato'!$H34</f>
        <v>#REF!</v>
      </c>
      <c r="Z34" s="250" t="e">
        <f>#REF!/'Inversion formato'!$H34</f>
        <v>#REF!</v>
      </c>
      <c r="AA34" s="250" t="e">
        <f>#REF!/'Inversion formato'!$H34</f>
        <v>#REF!</v>
      </c>
      <c r="AB34" s="250" t="e">
        <f>#REF!/'Inversion formato'!$H34</f>
        <v>#REF!</v>
      </c>
      <c r="AC34" s="250" t="e">
        <f>#REF!/'Inversion formato'!$H34</f>
        <v>#REF!</v>
      </c>
      <c r="AD34" s="250" t="e">
        <f>#REF!/'Inversion formato'!$H34</f>
        <v>#REF!</v>
      </c>
      <c r="AE34" s="250" t="e">
        <f>#REF!/'Inversion formato'!$H34</f>
        <v>#REF!</v>
      </c>
      <c r="AF34" s="250" t="e">
        <f>#REF!/'Inversion formato'!$H34</f>
        <v>#REF!</v>
      </c>
      <c r="AG34" s="251" t="e">
        <f t="shared" si="3"/>
        <v>#REF!</v>
      </c>
    </row>
    <row r="35" spans="1:33" ht="25.5" customHeight="1" outlineLevel="2">
      <c r="A35" s="79" t="e">
        <f>#REF!</f>
        <v>#REF!</v>
      </c>
      <c r="B35" s="80" t="e">
        <f>#REF!</f>
        <v>#REF!</v>
      </c>
      <c r="C35" s="81">
        <f t="shared" si="0"/>
        <v>7826244.8419399988</v>
      </c>
      <c r="D35" s="117">
        <f t="shared" si="2"/>
        <v>0.77186793715404611</v>
      </c>
      <c r="E35" s="81">
        <f t="shared" si="1"/>
        <v>6040827.4618107202</v>
      </c>
      <c r="F35" s="94" t="e">
        <f t="shared" ref="F35:F43" si="6">IF(H23=0,0,H35/$H$22)</f>
        <v>#REF!</v>
      </c>
      <c r="G35" s="23"/>
      <c r="H35" s="81" t="e">
        <f>#REF!</f>
        <v>#REF!</v>
      </c>
      <c r="I35" s="23"/>
      <c r="J35" s="81">
        <v>7826244.8419399988</v>
      </c>
      <c r="K35" s="81">
        <v>7826244.8419399988</v>
      </c>
      <c r="L35" s="81" t="e">
        <v>#VALUE!</v>
      </c>
      <c r="M35" s="81" t="e">
        <v>#VALUE!</v>
      </c>
      <c r="N35" s="81" t="e">
        <v>#VALUE!</v>
      </c>
      <c r="O35" s="118"/>
      <c r="P35" s="81">
        <v>6040827.4618107202</v>
      </c>
      <c r="Q35" s="81">
        <v>6040827.4618107202</v>
      </c>
      <c r="R35" s="81" t="e">
        <v>#VALUE!</v>
      </c>
      <c r="S35" s="81" t="e">
        <v>#VALUE!</v>
      </c>
      <c r="T35" s="81" t="e">
        <v>#VALUE!</v>
      </c>
      <c r="V35" s="250" t="e">
        <f>#REF!/'Inversion formato'!$H35</f>
        <v>#REF!</v>
      </c>
      <c r="W35" s="250" t="e">
        <f>#REF!/'Inversion formato'!$H35</f>
        <v>#REF!</v>
      </c>
      <c r="X35" s="250" t="e">
        <f>#REF!/'Inversion formato'!$H35</f>
        <v>#REF!</v>
      </c>
      <c r="Y35" s="250" t="e">
        <f>#REF!/'Inversion formato'!$H35</f>
        <v>#REF!</v>
      </c>
      <c r="Z35" s="250" t="e">
        <f>#REF!/'Inversion formato'!$H35</f>
        <v>#REF!</v>
      </c>
      <c r="AA35" s="250" t="e">
        <f>#REF!/'Inversion formato'!$H35</f>
        <v>#REF!</v>
      </c>
      <c r="AB35" s="250" t="e">
        <f>#REF!/'Inversion formato'!$H35</f>
        <v>#REF!</v>
      </c>
      <c r="AC35" s="250" t="e">
        <f>#REF!/'Inversion formato'!$H35</f>
        <v>#REF!</v>
      </c>
      <c r="AD35" s="250" t="e">
        <f>#REF!/'Inversion formato'!$H35</f>
        <v>#REF!</v>
      </c>
      <c r="AE35" s="250" t="e">
        <f>#REF!/'Inversion formato'!$H35</f>
        <v>#REF!</v>
      </c>
      <c r="AF35" s="250" t="e">
        <f>#REF!/'Inversion formato'!$H35</f>
        <v>#REF!</v>
      </c>
      <c r="AG35" s="251" t="e">
        <f t="shared" si="3"/>
        <v>#REF!</v>
      </c>
    </row>
    <row r="36" spans="1:33" ht="25.5" customHeight="1" outlineLevel="2">
      <c r="A36" s="79" t="e">
        <f>#REF!</f>
        <v>#REF!</v>
      </c>
      <c r="B36" s="80" t="e">
        <f>#REF!</f>
        <v>#REF!</v>
      </c>
      <c r="C36" s="81">
        <f t="shared" si="0"/>
        <v>3150444.4642000003</v>
      </c>
      <c r="D36" s="117">
        <f t="shared" si="2"/>
        <v>0.77082414283581957</v>
      </c>
      <c r="E36" s="81">
        <f t="shared" si="1"/>
        <v>2428438.6536688181</v>
      </c>
      <c r="F36" s="94" t="e">
        <f t="shared" si="6"/>
        <v>#REF!</v>
      </c>
      <c r="G36" s="23"/>
      <c r="H36" s="81" t="e">
        <f>#REF!</f>
        <v>#REF!</v>
      </c>
      <c r="I36" s="23"/>
      <c r="J36" s="81">
        <v>3150444.4642000003</v>
      </c>
      <c r="K36" s="81">
        <v>3150444.4642000003</v>
      </c>
      <c r="L36" s="81" t="e">
        <v>#VALUE!</v>
      </c>
      <c r="M36" s="81" t="e">
        <v>#VALUE!</v>
      </c>
      <c r="N36" s="81" t="e">
        <v>#VALUE!</v>
      </c>
      <c r="O36" s="118"/>
      <c r="P36" s="81">
        <v>2428438.6536688181</v>
      </c>
      <c r="Q36" s="81">
        <v>2428438.6536688181</v>
      </c>
      <c r="R36" s="81" t="e">
        <v>#VALUE!</v>
      </c>
      <c r="S36" s="81" t="e">
        <v>#VALUE!</v>
      </c>
      <c r="T36" s="81" t="e">
        <v>#VALUE!</v>
      </c>
      <c r="V36" s="250" t="e">
        <f>#REF!/'Inversion formato'!$H36</f>
        <v>#REF!</v>
      </c>
      <c r="W36" s="250" t="e">
        <f>#REF!/'Inversion formato'!$H36</f>
        <v>#REF!</v>
      </c>
      <c r="X36" s="250" t="e">
        <f>#REF!/'Inversion formato'!$H36</f>
        <v>#REF!</v>
      </c>
      <c r="Y36" s="250" t="e">
        <f>#REF!/'Inversion formato'!$H36</f>
        <v>#REF!</v>
      </c>
      <c r="Z36" s="250" t="e">
        <f>#REF!/'Inversion formato'!$H36</f>
        <v>#REF!</v>
      </c>
      <c r="AA36" s="250" t="e">
        <f>#REF!/'Inversion formato'!$H36</f>
        <v>#REF!</v>
      </c>
      <c r="AB36" s="250" t="e">
        <f>#REF!/'Inversion formato'!$H36</f>
        <v>#REF!</v>
      </c>
      <c r="AC36" s="250" t="e">
        <f>#REF!/'Inversion formato'!$H36</f>
        <v>#REF!</v>
      </c>
      <c r="AD36" s="250" t="e">
        <f>#REF!/'Inversion formato'!$H36</f>
        <v>#REF!</v>
      </c>
      <c r="AE36" s="250" t="e">
        <f>#REF!/'Inversion formato'!$H36</f>
        <v>#REF!</v>
      </c>
      <c r="AF36" s="250" t="e">
        <f>#REF!/'Inversion formato'!$H36</f>
        <v>#REF!</v>
      </c>
      <c r="AG36" s="251" t="e">
        <f t="shared" si="3"/>
        <v>#REF!</v>
      </c>
    </row>
    <row r="37" spans="1:33" ht="25.5" customHeight="1" outlineLevel="2">
      <c r="A37" s="79" t="e">
        <f>#REF!</f>
        <v>#REF!</v>
      </c>
      <c r="B37" s="80" t="e">
        <f>#REF!</f>
        <v>#REF!</v>
      </c>
      <c r="C37" s="81">
        <f t="shared" si="0"/>
        <v>0</v>
      </c>
      <c r="D37" s="117" t="str">
        <f t="shared" si="2"/>
        <v>n/d</v>
      </c>
      <c r="E37" s="81">
        <f t="shared" si="1"/>
        <v>0</v>
      </c>
      <c r="F37" s="94" t="e">
        <f t="shared" si="6"/>
        <v>#REF!</v>
      </c>
      <c r="G37" s="23"/>
      <c r="H37" s="81" t="e">
        <f>#REF!</f>
        <v>#REF!</v>
      </c>
      <c r="I37" s="23"/>
      <c r="J37" s="81">
        <v>0</v>
      </c>
      <c r="K37" s="81">
        <v>0</v>
      </c>
      <c r="L37" s="81" t="e">
        <v>#VALUE!</v>
      </c>
      <c r="M37" s="81" t="e">
        <v>#VALUE!</v>
      </c>
      <c r="N37" s="81" t="e">
        <v>#VALUE!</v>
      </c>
      <c r="O37" s="118"/>
      <c r="P37" s="81">
        <v>0</v>
      </c>
      <c r="Q37" s="81">
        <v>0</v>
      </c>
      <c r="R37" s="81" t="e">
        <v>#VALUE!</v>
      </c>
      <c r="S37" s="81" t="e">
        <v>#VALUE!</v>
      </c>
      <c r="T37" s="81" t="e">
        <v>#VALUE!</v>
      </c>
      <c r="V37" s="250" t="e">
        <f>#REF!/'Inversion formato'!$H37</f>
        <v>#REF!</v>
      </c>
      <c r="W37" s="250" t="e">
        <f>#REF!/'Inversion formato'!$H37</f>
        <v>#REF!</v>
      </c>
      <c r="X37" s="250" t="e">
        <f>#REF!/'Inversion formato'!$H37</f>
        <v>#REF!</v>
      </c>
      <c r="Y37" s="250" t="e">
        <f>#REF!/'Inversion formato'!$H37</f>
        <v>#REF!</v>
      </c>
      <c r="Z37" s="250" t="e">
        <f>#REF!/'Inversion formato'!$H37</f>
        <v>#REF!</v>
      </c>
      <c r="AA37" s="250" t="e">
        <f>#REF!/'Inversion formato'!$H37</f>
        <v>#REF!</v>
      </c>
      <c r="AB37" s="250" t="e">
        <f>#REF!/'Inversion formato'!$H37</f>
        <v>#REF!</v>
      </c>
      <c r="AC37" s="250" t="e">
        <f>#REF!/'Inversion formato'!$H37</f>
        <v>#REF!</v>
      </c>
      <c r="AD37" s="250" t="e">
        <f>#REF!/'Inversion formato'!$H37</f>
        <v>#REF!</v>
      </c>
      <c r="AE37" s="250" t="e">
        <f>#REF!/'Inversion formato'!$H37</f>
        <v>#REF!</v>
      </c>
      <c r="AF37" s="250" t="e">
        <f>#REF!/'Inversion formato'!$H37</f>
        <v>#REF!</v>
      </c>
      <c r="AG37" s="251" t="e">
        <f t="shared" si="3"/>
        <v>#REF!</v>
      </c>
    </row>
    <row r="38" spans="1:33" ht="39" customHeight="1" outlineLevel="2">
      <c r="A38" s="79" t="e">
        <f>#REF!</f>
        <v>#REF!</v>
      </c>
      <c r="B38" s="80" t="e">
        <f>#REF!</f>
        <v>#REF!</v>
      </c>
      <c r="C38" s="81">
        <f>CHOOSE(Muestra_Alt,J38,K38,L38,M38,N38)</f>
        <v>0</v>
      </c>
      <c r="D38" s="117" t="str">
        <f>IF(C38=0,"n/d",E38/C38)</f>
        <v>n/d</v>
      </c>
      <c r="E38" s="81">
        <f>CHOOSE(Muestra_Alt,P38,Q38,R38,S38,T38)</f>
        <v>0</v>
      </c>
      <c r="F38" s="94" t="e">
        <f t="shared" si="6"/>
        <v>#REF!</v>
      </c>
      <c r="G38" s="23"/>
      <c r="H38" s="81" t="e">
        <f>#REF!</f>
        <v>#REF!</v>
      </c>
      <c r="I38" s="23"/>
      <c r="J38" s="81">
        <v>0</v>
      </c>
      <c r="K38" s="81">
        <v>0</v>
      </c>
      <c r="L38" s="81" t="e">
        <v>#VALUE!</v>
      </c>
      <c r="M38" s="81" t="e">
        <v>#VALUE!</v>
      </c>
      <c r="N38" s="81" t="e">
        <v>#VALUE!</v>
      </c>
      <c r="O38" s="118"/>
      <c r="P38" s="81">
        <v>0</v>
      </c>
      <c r="Q38" s="81">
        <v>0</v>
      </c>
      <c r="R38" s="81" t="e">
        <v>#VALUE!</v>
      </c>
      <c r="S38" s="81" t="e">
        <v>#VALUE!</v>
      </c>
      <c r="T38" s="81" t="e">
        <v>#VALUE!</v>
      </c>
      <c r="V38" s="250" t="e">
        <f>#REF!/'Inversion formato'!$H38</f>
        <v>#REF!</v>
      </c>
      <c r="W38" s="250" t="e">
        <f>#REF!/'Inversion formato'!$H38</f>
        <v>#REF!</v>
      </c>
      <c r="X38" s="250" t="e">
        <f>#REF!/'Inversion formato'!$H38</f>
        <v>#REF!</v>
      </c>
      <c r="Y38" s="250" t="e">
        <f>#REF!/'Inversion formato'!$H38</f>
        <v>#REF!</v>
      </c>
      <c r="Z38" s="250" t="e">
        <f>#REF!/'Inversion formato'!$H38</f>
        <v>#REF!</v>
      </c>
      <c r="AA38" s="250" t="e">
        <f>#REF!/'Inversion formato'!$H38</f>
        <v>#REF!</v>
      </c>
      <c r="AB38" s="250" t="e">
        <f>#REF!/'Inversion formato'!$H38</f>
        <v>#REF!</v>
      </c>
      <c r="AC38" s="250" t="e">
        <f>#REF!/'Inversion formato'!$H38</f>
        <v>#REF!</v>
      </c>
      <c r="AD38" s="250" t="e">
        <f>#REF!/'Inversion formato'!$H38</f>
        <v>#REF!</v>
      </c>
      <c r="AE38" s="250" t="e">
        <f>#REF!/'Inversion formato'!$H38</f>
        <v>#REF!</v>
      </c>
      <c r="AF38" s="250" t="e">
        <f>#REF!/'Inversion formato'!$H38</f>
        <v>#REF!</v>
      </c>
      <c r="AG38" s="251" t="e">
        <f t="shared" si="3"/>
        <v>#REF!</v>
      </c>
    </row>
    <row r="39" spans="1:33" ht="5.25" customHeight="1" outlineLevel="1">
      <c r="A39" s="1108"/>
      <c r="B39" s="1104"/>
      <c r="C39" s="1105"/>
      <c r="D39" s="1106"/>
      <c r="E39" s="1105"/>
      <c r="F39" s="94"/>
      <c r="G39" s="23"/>
      <c r="H39" s="1105"/>
      <c r="I39" s="23"/>
      <c r="J39" s="1105"/>
      <c r="K39" s="1105"/>
      <c r="L39" s="1105"/>
      <c r="M39" s="1105"/>
      <c r="N39" s="1105"/>
      <c r="O39" s="118"/>
      <c r="P39" s="1105"/>
      <c r="Q39" s="1105"/>
      <c r="R39" s="1105"/>
      <c r="S39" s="1105"/>
      <c r="T39" s="1105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1"/>
    </row>
    <row r="40" spans="1:33" ht="25.5" customHeight="1" outlineLevel="2">
      <c r="A40" s="79" t="e">
        <f>#REF!</f>
        <v>#REF!</v>
      </c>
      <c r="B40" s="80" t="e">
        <f>#REF!</f>
        <v>#REF!</v>
      </c>
      <c r="C40" s="81">
        <f t="shared" si="0"/>
        <v>11901695.025279999</v>
      </c>
      <c r="D40" s="117">
        <f t="shared" si="2"/>
        <v>0.82190829508971031</v>
      </c>
      <c r="E40" s="81">
        <f t="shared" si="1"/>
        <v>9782101.86690557</v>
      </c>
      <c r="F40" s="94" t="e">
        <f t="shared" si="6"/>
        <v>#REF!</v>
      </c>
      <c r="G40" s="23"/>
      <c r="H40" s="81" t="e">
        <f>#REF!</f>
        <v>#REF!</v>
      </c>
      <c r="I40" s="23"/>
      <c r="J40" s="81">
        <v>11901695.025279999</v>
      </c>
      <c r="K40" s="81">
        <v>11901695.025279999</v>
      </c>
      <c r="L40" s="81" t="e">
        <v>#VALUE!</v>
      </c>
      <c r="M40" s="81" t="e">
        <v>#VALUE!</v>
      </c>
      <c r="N40" s="81" t="e">
        <v>#VALUE!</v>
      </c>
      <c r="O40" s="118"/>
      <c r="P40" s="81">
        <v>9782101.86690557</v>
      </c>
      <c r="Q40" s="81">
        <v>9782101.86690557</v>
      </c>
      <c r="R40" s="81" t="e">
        <v>#VALUE!</v>
      </c>
      <c r="S40" s="81" t="e">
        <v>#VALUE!</v>
      </c>
      <c r="T40" s="81" t="e">
        <v>#VALUE!</v>
      </c>
      <c r="V40" s="250" t="e">
        <f>#REF!/'Inversion formato'!$H40</f>
        <v>#REF!</v>
      </c>
      <c r="W40" s="250" t="e">
        <f>#REF!/'Inversion formato'!$H40</f>
        <v>#REF!</v>
      </c>
      <c r="X40" s="250" t="e">
        <f>#REF!/'Inversion formato'!$H40</f>
        <v>#REF!</v>
      </c>
      <c r="Y40" s="250" t="e">
        <f>#REF!/'Inversion formato'!$H40</f>
        <v>#REF!</v>
      </c>
      <c r="Z40" s="250" t="e">
        <f>#REF!/'Inversion formato'!$H40</f>
        <v>#REF!</v>
      </c>
      <c r="AA40" s="250" t="e">
        <f>#REF!/'Inversion formato'!$H40</f>
        <v>#REF!</v>
      </c>
      <c r="AB40" s="250" t="e">
        <f>#REF!/'Inversion formato'!$H40</f>
        <v>#REF!</v>
      </c>
      <c r="AC40" s="250" t="e">
        <f>#REF!/'Inversion formato'!$H40</f>
        <v>#REF!</v>
      </c>
      <c r="AD40" s="250" t="e">
        <f>#REF!/'Inversion formato'!$H40</f>
        <v>#REF!</v>
      </c>
      <c r="AE40" s="250" t="e">
        <f>#REF!/'Inversion formato'!$H40</f>
        <v>#REF!</v>
      </c>
      <c r="AF40" s="250" t="e">
        <f>#REF!/'Inversion formato'!$H40</f>
        <v>#REF!</v>
      </c>
      <c r="AG40" s="251" t="e">
        <f t="shared" si="3"/>
        <v>#REF!</v>
      </c>
    </row>
    <row r="41" spans="1:33" ht="25.5" customHeight="1" outlineLevel="2">
      <c r="A41" s="79" t="e">
        <f>#REF!</f>
        <v>#REF!</v>
      </c>
      <c r="B41" s="80" t="e">
        <f>#REF!</f>
        <v>#REF!</v>
      </c>
      <c r="C41" s="81">
        <f t="shared" si="0"/>
        <v>0</v>
      </c>
      <c r="D41" s="117" t="str">
        <f t="shared" si="2"/>
        <v>n/d</v>
      </c>
      <c r="E41" s="81">
        <f t="shared" si="1"/>
        <v>0</v>
      </c>
      <c r="F41" s="94" t="e">
        <f t="shared" si="6"/>
        <v>#REF!</v>
      </c>
      <c r="G41" s="23"/>
      <c r="H41" s="81" t="e">
        <f>#REF!</f>
        <v>#REF!</v>
      </c>
      <c r="I41" s="23"/>
      <c r="J41" s="81">
        <v>0</v>
      </c>
      <c r="K41" s="81">
        <v>0</v>
      </c>
      <c r="L41" s="81" t="e">
        <v>#VALUE!</v>
      </c>
      <c r="M41" s="81" t="e">
        <v>#VALUE!</v>
      </c>
      <c r="N41" s="81" t="e">
        <v>#VALUE!</v>
      </c>
      <c r="O41" s="118"/>
      <c r="P41" s="81">
        <v>0</v>
      </c>
      <c r="Q41" s="81">
        <v>0</v>
      </c>
      <c r="R41" s="81" t="e">
        <v>#VALUE!</v>
      </c>
      <c r="S41" s="81" t="e">
        <v>#VALUE!</v>
      </c>
      <c r="T41" s="81" t="e">
        <v>#VALUE!</v>
      </c>
      <c r="V41" s="250" t="e">
        <f>#REF!/'Inversion formato'!$H41</f>
        <v>#REF!</v>
      </c>
      <c r="W41" s="250" t="e">
        <f>#REF!/'Inversion formato'!$H41</f>
        <v>#REF!</v>
      </c>
      <c r="X41" s="250" t="e">
        <f>#REF!/'Inversion formato'!$H41</f>
        <v>#REF!</v>
      </c>
      <c r="Y41" s="250" t="e">
        <f>#REF!/'Inversion formato'!$H41</f>
        <v>#REF!</v>
      </c>
      <c r="Z41" s="250" t="e">
        <f>#REF!/'Inversion formato'!$H41</f>
        <v>#REF!</v>
      </c>
      <c r="AA41" s="250" t="e">
        <f>#REF!/'Inversion formato'!$H41</f>
        <v>#REF!</v>
      </c>
      <c r="AB41" s="250" t="e">
        <f>#REF!/'Inversion formato'!$H41</f>
        <v>#REF!</v>
      </c>
      <c r="AC41" s="250" t="e">
        <f>#REF!/'Inversion formato'!$H41</f>
        <v>#REF!</v>
      </c>
      <c r="AD41" s="250" t="e">
        <f>#REF!/'Inversion formato'!$H41</f>
        <v>#REF!</v>
      </c>
      <c r="AE41" s="250" t="e">
        <f>#REF!/'Inversion formato'!$H41</f>
        <v>#REF!</v>
      </c>
      <c r="AF41" s="250" t="e">
        <f>#REF!/'Inversion formato'!$H41</f>
        <v>#REF!</v>
      </c>
      <c r="AG41" s="251" t="e">
        <f t="shared" si="3"/>
        <v>#REF!</v>
      </c>
    </row>
    <row r="42" spans="1:33" ht="25.5" hidden="1" customHeight="1" outlineLevel="1">
      <c r="A42" s="79" t="e">
        <f>#REF!</f>
        <v>#REF!</v>
      </c>
      <c r="B42" s="80" t="e">
        <f>#REF!</f>
        <v>#REF!</v>
      </c>
      <c r="C42" s="81">
        <f t="shared" si="0"/>
        <v>0</v>
      </c>
      <c r="D42" s="117" t="str">
        <f t="shared" si="2"/>
        <v>n/d</v>
      </c>
      <c r="E42" s="81">
        <f t="shared" si="1"/>
        <v>0</v>
      </c>
      <c r="F42" s="94" t="e">
        <f t="shared" si="6"/>
        <v>#REF!</v>
      </c>
      <c r="G42" s="23"/>
      <c r="H42" s="81" t="e">
        <f>#REF!</f>
        <v>#REF!</v>
      </c>
      <c r="I42" s="23"/>
      <c r="J42" s="81">
        <v>0</v>
      </c>
      <c r="K42" s="81">
        <v>0</v>
      </c>
      <c r="L42" s="81" t="e">
        <v>#VALUE!</v>
      </c>
      <c r="M42" s="81" t="e">
        <v>#VALUE!</v>
      </c>
      <c r="N42" s="81" t="e">
        <v>#VALUE!</v>
      </c>
      <c r="O42" s="118"/>
      <c r="P42" s="81">
        <v>0</v>
      </c>
      <c r="Q42" s="81">
        <v>0</v>
      </c>
      <c r="R42" s="81" t="e">
        <v>#VALUE!</v>
      </c>
      <c r="S42" s="81" t="e">
        <v>#VALUE!</v>
      </c>
      <c r="T42" s="81" t="e">
        <v>#VALUE!</v>
      </c>
      <c r="V42" s="250" t="e">
        <f>#REF!/'Inversion formato'!$H42</f>
        <v>#REF!</v>
      </c>
      <c r="W42" s="250" t="e">
        <f>#REF!/'Inversion formato'!$H42</f>
        <v>#REF!</v>
      </c>
      <c r="X42" s="250" t="e">
        <f>#REF!/'Inversion formato'!$H42</f>
        <v>#REF!</v>
      </c>
      <c r="Y42" s="250" t="e">
        <f>#REF!/'Inversion formato'!$H42</f>
        <v>#REF!</v>
      </c>
      <c r="Z42" s="250" t="e">
        <f>#REF!/'Inversion formato'!$H42</f>
        <v>#REF!</v>
      </c>
      <c r="AA42" s="250" t="e">
        <f>#REF!/'Inversion formato'!$H42</f>
        <v>#REF!</v>
      </c>
      <c r="AB42" s="250" t="e">
        <f>#REF!/'Inversion formato'!$H42</f>
        <v>#REF!</v>
      </c>
      <c r="AC42" s="250" t="e">
        <f>#REF!/'Inversion formato'!$H42</f>
        <v>#REF!</v>
      </c>
      <c r="AD42" s="250" t="e">
        <f>#REF!/'Inversion formato'!$H42</f>
        <v>#REF!</v>
      </c>
      <c r="AE42" s="250" t="e">
        <f>#REF!/'Inversion formato'!$H42</f>
        <v>#REF!</v>
      </c>
      <c r="AF42" s="250" t="e">
        <f>#REF!/'Inversion formato'!$H42</f>
        <v>#REF!</v>
      </c>
      <c r="AG42" s="251" t="e">
        <f t="shared" si="3"/>
        <v>#REF!</v>
      </c>
    </row>
    <row r="43" spans="1:33" ht="25.5" hidden="1" customHeight="1" outlineLevel="1">
      <c r="A43" s="79" t="e">
        <f>#REF!</f>
        <v>#REF!</v>
      </c>
      <c r="B43" s="80" t="e">
        <f>#REF!</f>
        <v>#REF!</v>
      </c>
      <c r="C43" s="81">
        <f t="shared" si="0"/>
        <v>0</v>
      </c>
      <c r="D43" s="117" t="str">
        <f t="shared" si="2"/>
        <v>n/d</v>
      </c>
      <c r="E43" s="81">
        <f t="shared" si="1"/>
        <v>0</v>
      </c>
      <c r="F43" s="94" t="e">
        <f t="shared" si="6"/>
        <v>#REF!</v>
      </c>
      <c r="G43" s="23"/>
      <c r="H43" s="81" t="e">
        <f>#REF!</f>
        <v>#REF!</v>
      </c>
      <c r="I43" s="23"/>
      <c r="J43" s="81">
        <v>0</v>
      </c>
      <c r="K43" s="81">
        <v>0</v>
      </c>
      <c r="L43" s="81" t="e">
        <v>#VALUE!</v>
      </c>
      <c r="M43" s="81" t="e">
        <v>#VALUE!</v>
      </c>
      <c r="N43" s="81" t="e">
        <v>#VALUE!</v>
      </c>
      <c r="O43" s="118"/>
      <c r="P43" s="81">
        <v>0</v>
      </c>
      <c r="Q43" s="81">
        <v>0</v>
      </c>
      <c r="R43" s="81" t="e">
        <v>#VALUE!</v>
      </c>
      <c r="S43" s="81" t="e">
        <v>#VALUE!</v>
      </c>
      <c r="T43" s="81" t="e">
        <v>#VALUE!</v>
      </c>
      <c r="V43" s="250" t="e">
        <f>#REF!/'Inversion formato'!$H43</f>
        <v>#REF!</v>
      </c>
      <c r="W43" s="250" t="e">
        <f>#REF!/'Inversion formato'!$H43</f>
        <v>#REF!</v>
      </c>
      <c r="X43" s="250" t="e">
        <f>#REF!/'Inversion formato'!$H43</f>
        <v>#REF!</v>
      </c>
      <c r="Y43" s="250" t="e">
        <f>#REF!/'Inversion formato'!$H43</f>
        <v>#REF!</v>
      </c>
      <c r="Z43" s="250" t="e">
        <f>#REF!/'Inversion formato'!$H43</f>
        <v>#REF!</v>
      </c>
      <c r="AA43" s="250" t="e">
        <f>#REF!/'Inversion formato'!$H43</f>
        <v>#REF!</v>
      </c>
      <c r="AB43" s="250" t="e">
        <f>#REF!/'Inversion formato'!$H43</f>
        <v>#REF!</v>
      </c>
      <c r="AC43" s="250" t="e">
        <f>#REF!/'Inversion formato'!$H43</f>
        <v>#REF!</v>
      </c>
      <c r="AD43" s="250" t="e">
        <f>#REF!/'Inversion formato'!$H43</f>
        <v>#REF!</v>
      </c>
      <c r="AE43" s="250" t="e">
        <f>#REF!/'Inversion formato'!$H43</f>
        <v>#REF!</v>
      </c>
      <c r="AF43" s="250" t="e">
        <f>#REF!/'Inversion formato'!$H43</f>
        <v>#REF!</v>
      </c>
      <c r="AG43" s="251" t="e">
        <f t="shared" si="3"/>
        <v>#REF!</v>
      </c>
    </row>
    <row r="44" spans="1:33" ht="18.75" customHeight="1">
      <c r="A44" s="1080" t="e">
        <f>#REF!</f>
        <v>#REF!</v>
      </c>
      <c r="B44" s="1098" t="e">
        <f>#REF!</f>
        <v>#REF!</v>
      </c>
      <c r="C44" s="1099">
        <f t="shared" si="0"/>
        <v>39759964.422127977</v>
      </c>
      <c r="D44" s="1100">
        <f t="shared" si="2"/>
        <v>0.77069492890444991</v>
      </c>
      <c r="E44" s="1099">
        <f t="shared" si="1"/>
        <v>30642802.953555379</v>
      </c>
      <c r="F44" s="1101" t="e">
        <f>H44/$H$84</f>
        <v>#REF!</v>
      </c>
      <c r="G44" s="23"/>
      <c r="H44" s="1099" t="e">
        <f>H45+H48+H52+H56</f>
        <v>#REF!</v>
      </c>
      <c r="I44" s="23"/>
      <c r="J44" s="1099">
        <v>39759964.422127977</v>
      </c>
      <c r="K44" s="1099">
        <v>39759964.422127977</v>
      </c>
      <c r="L44" s="1099" t="e">
        <v>#VALUE!</v>
      </c>
      <c r="M44" s="1099" t="e">
        <v>#VALUE!</v>
      </c>
      <c r="N44" s="1099" t="e">
        <v>#VALUE!</v>
      </c>
      <c r="O44" s="118"/>
      <c r="P44" s="1099">
        <v>30642802.953555379</v>
      </c>
      <c r="Q44" s="1099">
        <v>30642802.953555379</v>
      </c>
      <c r="R44" s="1099" t="e">
        <v>#VALUE!</v>
      </c>
      <c r="S44" s="1099" t="e">
        <v>#VALUE!</v>
      </c>
      <c r="T44" s="1099" t="e">
        <v>#VALUE!</v>
      </c>
      <c r="V44" s="1102" t="e">
        <f>#REF!/'Inversion formato'!$H44</f>
        <v>#REF!</v>
      </c>
      <c r="W44" s="1102" t="e">
        <f>#REF!/'Inversion formato'!$H44</f>
        <v>#REF!</v>
      </c>
      <c r="X44" s="1102" t="e">
        <f>#REF!/'Inversion formato'!$H44</f>
        <v>#REF!</v>
      </c>
      <c r="Y44" s="1102" t="e">
        <f>#REF!/'Inversion formato'!$H44</f>
        <v>#REF!</v>
      </c>
      <c r="Z44" s="1102" t="e">
        <f>#REF!/'Inversion formato'!$H44</f>
        <v>#REF!</v>
      </c>
      <c r="AA44" s="1102" t="e">
        <f>#REF!/'Inversion formato'!$H44</f>
        <v>#REF!</v>
      </c>
      <c r="AB44" s="1102" t="e">
        <f>#REF!/'Inversion formato'!$H44</f>
        <v>#REF!</v>
      </c>
      <c r="AC44" s="1102" t="e">
        <f>#REF!/'Inversion formato'!$H44</f>
        <v>#REF!</v>
      </c>
      <c r="AD44" s="1102" t="e">
        <f>#REF!/'Inversion formato'!$H44</f>
        <v>#REF!</v>
      </c>
      <c r="AE44" s="1102" t="e">
        <f>#REF!/'Inversion formato'!$H44</f>
        <v>#REF!</v>
      </c>
      <c r="AF44" s="1102" t="e">
        <f>#REF!/'Inversion formato'!$H44</f>
        <v>#REF!</v>
      </c>
      <c r="AG44" s="1082" t="e">
        <f t="shared" si="3"/>
        <v>#REF!</v>
      </c>
    </row>
    <row r="45" spans="1:33" ht="18.75" customHeight="1">
      <c r="A45" s="1103" t="e">
        <f>#REF!</f>
        <v>#REF!</v>
      </c>
      <c r="B45" s="1104" t="e">
        <f>#REF!</f>
        <v>#REF!</v>
      </c>
      <c r="C45" s="1105">
        <f t="shared" si="0"/>
        <v>3122716.2549553565</v>
      </c>
      <c r="D45" s="1106">
        <f t="shared" si="2"/>
        <v>0.76428251713461903</v>
      </c>
      <c r="E45" s="1105">
        <f t="shared" si="1"/>
        <v>2386637.4396344707</v>
      </c>
      <c r="F45" s="1107" t="e">
        <f>H45/$H$44</f>
        <v>#REF!</v>
      </c>
      <c r="G45" s="23"/>
      <c r="H45" s="1105" t="e">
        <f>SUM(H46:H47)</f>
        <v>#REF!</v>
      </c>
      <c r="I45" s="23"/>
      <c r="J45" s="1105">
        <v>3122716.2549553565</v>
      </c>
      <c r="K45" s="1105">
        <v>3122716.2549553565</v>
      </c>
      <c r="L45" s="1105" t="e">
        <v>#VALUE!</v>
      </c>
      <c r="M45" s="1105" t="e">
        <v>#VALUE!</v>
      </c>
      <c r="N45" s="1105" t="e">
        <v>#VALUE!</v>
      </c>
      <c r="O45" s="118"/>
      <c r="P45" s="1105">
        <v>2386637.4396344707</v>
      </c>
      <c r="Q45" s="1105">
        <v>2386637.4396344707</v>
      </c>
      <c r="R45" s="1105" t="e">
        <v>#VALUE!</v>
      </c>
      <c r="S45" s="1105" t="e">
        <v>#VALUE!</v>
      </c>
      <c r="T45" s="1105" t="e">
        <v>#VALUE!</v>
      </c>
      <c r="V45" s="249" t="e">
        <f>#REF!/'Inversion formato'!$H45</f>
        <v>#REF!</v>
      </c>
      <c r="W45" s="249" t="e">
        <f>#REF!/'Inversion formato'!$H45</f>
        <v>#REF!</v>
      </c>
      <c r="X45" s="249" t="e">
        <f>#REF!/'Inversion formato'!$H45</f>
        <v>#REF!</v>
      </c>
      <c r="Y45" s="249" t="e">
        <f>#REF!/'Inversion formato'!$H45</f>
        <v>#REF!</v>
      </c>
      <c r="Z45" s="249" t="e">
        <f>#REF!/'Inversion formato'!$H45</f>
        <v>#REF!</v>
      </c>
      <c r="AA45" s="249" t="e">
        <f>#REF!/'Inversion formato'!$H45</f>
        <v>#REF!</v>
      </c>
      <c r="AB45" s="249" t="e">
        <f>#REF!/'Inversion formato'!$H45</f>
        <v>#REF!</v>
      </c>
      <c r="AC45" s="249" t="e">
        <f>#REF!/'Inversion formato'!$H45</f>
        <v>#REF!</v>
      </c>
      <c r="AD45" s="249" t="e">
        <f>#REF!/'Inversion formato'!$H45</f>
        <v>#REF!</v>
      </c>
      <c r="AE45" s="249" t="e">
        <f>#REF!/'Inversion formato'!$H45</f>
        <v>#REF!</v>
      </c>
      <c r="AF45" s="249" t="e">
        <f>#REF!/'Inversion formato'!$H45</f>
        <v>#REF!</v>
      </c>
      <c r="AG45" s="252" t="e">
        <f t="shared" si="3"/>
        <v>#REF!</v>
      </c>
    </row>
    <row r="46" spans="1:33" outlineLevel="1">
      <c r="A46" s="79" t="e">
        <f>#REF!</f>
        <v>#REF!</v>
      </c>
      <c r="B46" s="80" t="e">
        <f>#REF!</f>
        <v>#REF!</v>
      </c>
      <c r="C46" s="81">
        <f t="shared" si="0"/>
        <v>2539026.5815178566</v>
      </c>
      <c r="D46" s="117">
        <f t="shared" si="2"/>
        <v>0.76404312392445339</v>
      </c>
      <c r="E46" s="81">
        <f t="shared" si="1"/>
        <v>1939925.801070129</v>
      </c>
      <c r="F46" s="94" t="e">
        <f>IF($H$45=0,0,H46/$H$45)</f>
        <v>#REF!</v>
      </c>
      <c r="G46" s="23"/>
      <c r="H46" s="81" t="e">
        <f>#REF!</f>
        <v>#REF!</v>
      </c>
      <c r="I46" s="23"/>
      <c r="J46" s="81">
        <v>2539026.5815178566</v>
      </c>
      <c r="K46" s="81">
        <v>2539026.5815178566</v>
      </c>
      <c r="L46" s="81" t="e">
        <v>#VALUE!</v>
      </c>
      <c r="M46" s="81" t="e">
        <v>#VALUE!</v>
      </c>
      <c r="N46" s="81" t="e">
        <v>#VALUE!</v>
      </c>
      <c r="O46" s="118"/>
      <c r="P46" s="81">
        <v>1939925.801070129</v>
      </c>
      <c r="Q46" s="81">
        <v>1939925.801070129</v>
      </c>
      <c r="R46" s="81" t="e">
        <v>#VALUE!</v>
      </c>
      <c r="S46" s="81" t="e">
        <v>#VALUE!</v>
      </c>
      <c r="T46" s="81" t="e">
        <v>#VALUE!</v>
      </c>
      <c r="V46" s="250" t="e">
        <f>#REF!/'Inversion formato'!$H46</f>
        <v>#REF!</v>
      </c>
      <c r="W46" s="250" t="e">
        <f>#REF!/'Inversion formato'!$H46</f>
        <v>#REF!</v>
      </c>
      <c r="X46" s="250" t="e">
        <f>#REF!/'Inversion formato'!$H46</f>
        <v>#REF!</v>
      </c>
      <c r="Y46" s="250" t="e">
        <f>#REF!/'Inversion formato'!$H46</f>
        <v>#REF!</v>
      </c>
      <c r="Z46" s="250" t="e">
        <f>#REF!/'Inversion formato'!$H46</f>
        <v>#REF!</v>
      </c>
      <c r="AA46" s="250" t="e">
        <f>#REF!/'Inversion formato'!$H46</f>
        <v>#REF!</v>
      </c>
      <c r="AB46" s="250" t="e">
        <f>#REF!/'Inversion formato'!$H46</f>
        <v>#REF!</v>
      </c>
      <c r="AC46" s="250" t="e">
        <f>#REF!/'Inversion formato'!$H46</f>
        <v>#REF!</v>
      </c>
      <c r="AD46" s="250" t="e">
        <f>#REF!/'Inversion formato'!$H46</f>
        <v>#REF!</v>
      </c>
      <c r="AE46" s="250" t="e">
        <f>#REF!/'Inversion formato'!$H46</f>
        <v>#REF!</v>
      </c>
      <c r="AF46" s="250" t="e">
        <f>#REF!/'Inversion formato'!$H46</f>
        <v>#REF!</v>
      </c>
      <c r="AG46" s="251" t="e">
        <f t="shared" si="3"/>
        <v>#REF!</v>
      </c>
    </row>
    <row r="47" spans="1:33" outlineLevel="1">
      <c r="A47" s="79" t="e">
        <f>#REF!</f>
        <v>#REF!</v>
      </c>
      <c r="B47" s="80" t="e">
        <f>#REF!</f>
        <v>#REF!</v>
      </c>
      <c r="C47" s="81">
        <f t="shared" si="0"/>
        <v>583689.67343750002</v>
      </c>
      <c r="D47" s="117">
        <f t="shared" si="2"/>
        <v>0.76532386796144769</v>
      </c>
      <c r="E47" s="81">
        <f t="shared" si="1"/>
        <v>446711.63856434176</v>
      </c>
      <c r="F47" s="94" t="e">
        <f>IF($H$45=0,0,H47/$H$45)</f>
        <v>#REF!</v>
      </c>
      <c r="G47" s="23"/>
      <c r="H47" s="81" t="e">
        <f>#REF!</f>
        <v>#REF!</v>
      </c>
      <c r="I47" s="23"/>
      <c r="J47" s="81">
        <v>583689.67343750002</v>
      </c>
      <c r="K47" s="81">
        <v>583689.67343750002</v>
      </c>
      <c r="L47" s="81" t="e">
        <v>#VALUE!</v>
      </c>
      <c r="M47" s="81" t="e">
        <v>#VALUE!</v>
      </c>
      <c r="N47" s="81" t="e">
        <v>#VALUE!</v>
      </c>
      <c r="O47" s="118"/>
      <c r="P47" s="81">
        <v>446711.63856434176</v>
      </c>
      <c r="Q47" s="81">
        <v>446711.63856434176</v>
      </c>
      <c r="R47" s="81" t="e">
        <v>#VALUE!</v>
      </c>
      <c r="S47" s="81" t="e">
        <v>#VALUE!</v>
      </c>
      <c r="T47" s="81" t="e">
        <v>#VALUE!</v>
      </c>
      <c r="V47" s="250" t="e">
        <f>#REF!/'Inversion formato'!$H47</f>
        <v>#REF!</v>
      </c>
      <c r="W47" s="250" t="e">
        <f>#REF!/'Inversion formato'!$H47</f>
        <v>#REF!</v>
      </c>
      <c r="X47" s="250" t="e">
        <f>#REF!/'Inversion formato'!$H47</f>
        <v>#REF!</v>
      </c>
      <c r="Y47" s="250" t="e">
        <f>#REF!/'Inversion formato'!$H47</f>
        <v>#REF!</v>
      </c>
      <c r="Z47" s="250" t="e">
        <f>#REF!/'Inversion formato'!$H47</f>
        <v>#REF!</v>
      </c>
      <c r="AA47" s="250" t="e">
        <f>#REF!/'Inversion formato'!$H47</f>
        <v>#REF!</v>
      </c>
      <c r="AB47" s="250" t="e">
        <f>#REF!/'Inversion formato'!$H47</f>
        <v>#REF!</v>
      </c>
      <c r="AC47" s="250" t="e">
        <f>#REF!/'Inversion formato'!$H47</f>
        <v>#REF!</v>
      </c>
      <c r="AD47" s="250" t="e">
        <f>#REF!/'Inversion formato'!$H47</f>
        <v>#REF!</v>
      </c>
      <c r="AE47" s="250" t="e">
        <f>#REF!/'Inversion formato'!$H47</f>
        <v>#REF!</v>
      </c>
      <c r="AF47" s="250" t="e">
        <f>#REF!/'Inversion formato'!$H47</f>
        <v>#REF!</v>
      </c>
      <c r="AG47" s="251" t="e">
        <f t="shared" si="3"/>
        <v>#REF!</v>
      </c>
    </row>
    <row r="48" spans="1:33">
      <c r="A48" s="1103" t="e">
        <f>#REF!</f>
        <v>#REF!</v>
      </c>
      <c r="B48" s="1104" t="e">
        <f>#REF!</f>
        <v>#REF!</v>
      </c>
      <c r="C48" s="1105">
        <f t="shared" si="0"/>
        <v>21867911.62833333</v>
      </c>
      <c r="D48" s="1106">
        <f t="shared" si="2"/>
        <v>0.77300653915689244</v>
      </c>
      <c r="E48" s="1105">
        <f t="shared" si="1"/>
        <v>16904038.686406713</v>
      </c>
      <c r="F48" s="1107" t="e">
        <f>H48/$H$44</f>
        <v>#REF!</v>
      </c>
      <c r="G48" s="23"/>
      <c r="H48" s="1105" t="e">
        <f>SUM(H49:H51)</f>
        <v>#REF!</v>
      </c>
      <c r="I48" s="23"/>
      <c r="J48" s="1105">
        <v>21867911.62833333</v>
      </c>
      <c r="K48" s="1105">
        <v>21867911.62833333</v>
      </c>
      <c r="L48" s="1105" t="e">
        <v>#VALUE!</v>
      </c>
      <c r="M48" s="1105" t="e">
        <v>#VALUE!</v>
      </c>
      <c r="N48" s="1105" t="e">
        <v>#VALUE!</v>
      </c>
      <c r="O48" s="118"/>
      <c r="P48" s="1105">
        <v>16904038.686406713</v>
      </c>
      <c r="Q48" s="1105">
        <v>16904038.686406713</v>
      </c>
      <c r="R48" s="1105" t="e">
        <v>#VALUE!</v>
      </c>
      <c r="S48" s="1105" t="e">
        <v>#VALUE!</v>
      </c>
      <c r="T48" s="1105" t="e">
        <v>#VALUE!</v>
      </c>
      <c r="V48" s="249" t="e">
        <f>#REF!/'Inversion formato'!$H48</f>
        <v>#REF!</v>
      </c>
      <c r="W48" s="249" t="e">
        <f>#REF!/'Inversion formato'!$H48</f>
        <v>#REF!</v>
      </c>
      <c r="X48" s="249" t="e">
        <f>#REF!/'Inversion formato'!$H48</f>
        <v>#REF!</v>
      </c>
      <c r="Y48" s="249" t="e">
        <f>#REF!/'Inversion formato'!$H48</f>
        <v>#REF!</v>
      </c>
      <c r="Z48" s="249" t="e">
        <f>#REF!/'Inversion formato'!$H48</f>
        <v>#REF!</v>
      </c>
      <c r="AA48" s="249" t="e">
        <f>#REF!/'Inversion formato'!$H48</f>
        <v>#REF!</v>
      </c>
      <c r="AB48" s="249" t="e">
        <f>#REF!/'Inversion formato'!$H48</f>
        <v>#REF!</v>
      </c>
      <c r="AC48" s="249" t="e">
        <f>#REF!/'Inversion formato'!$H48</f>
        <v>#REF!</v>
      </c>
      <c r="AD48" s="249" t="e">
        <f>#REF!/'Inversion formato'!$H48</f>
        <v>#REF!</v>
      </c>
      <c r="AE48" s="249" t="e">
        <f>#REF!/'Inversion formato'!$H48</f>
        <v>#REF!</v>
      </c>
      <c r="AF48" s="249" t="e">
        <f>#REF!/'Inversion formato'!$H48</f>
        <v>#REF!</v>
      </c>
      <c r="AG48" s="252" t="e">
        <f t="shared" si="3"/>
        <v>#REF!</v>
      </c>
    </row>
    <row r="49" spans="1:33" outlineLevel="1">
      <c r="A49" s="79" t="e">
        <f>#REF!</f>
        <v>#REF!</v>
      </c>
      <c r="B49" s="80" t="e">
        <f>#REF!</f>
        <v>#REF!</v>
      </c>
      <c r="C49" s="81">
        <f t="shared" si="0"/>
        <v>1441600</v>
      </c>
      <c r="D49" s="117">
        <f t="shared" si="2"/>
        <v>0.84745762711864392</v>
      </c>
      <c r="E49" s="81">
        <f t="shared" si="1"/>
        <v>1221694.9152542371</v>
      </c>
      <c r="F49" s="94" t="e">
        <f>IF($H$48=0,0,H49/$H$48)</f>
        <v>#REF!</v>
      </c>
      <c r="G49" s="23"/>
      <c r="H49" s="81" t="e">
        <f>#REF!</f>
        <v>#REF!</v>
      </c>
      <c r="I49" s="23"/>
      <c r="J49" s="81">
        <v>1441600</v>
      </c>
      <c r="K49" s="81">
        <v>1441600</v>
      </c>
      <c r="L49" s="81" t="e">
        <v>#VALUE!</v>
      </c>
      <c r="M49" s="81" t="e">
        <v>#VALUE!</v>
      </c>
      <c r="N49" s="81" t="e">
        <v>#VALUE!</v>
      </c>
      <c r="O49" s="118"/>
      <c r="P49" s="81">
        <v>1221694.9152542371</v>
      </c>
      <c r="Q49" s="81">
        <v>1221694.9152542371</v>
      </c>
      <c r="R49" s="81" t="e">
        <v>#VALUE!</v>
      </c>
      <c r="S49" s="81" t="e">
        <v>#VALUE!</v>
      </c>
      <c r="T49" s="81" t="e">
        <v>#VALUE!</v>
      </c>
      <c r="V49" s="250" t="e">
        <f>#REF!/'Inversion formato'!$H49</f>
        <v>#REF!</v>
      </c>
      <c r="W49" s="250" t="e">
        <f>#REF!/'Inversion formato'!$H49</f>
        <v>#REF!</v>
      </c>
      <c r="X49" s="250" t="e">
        <f>#REF!/'Inversion formato'!$H49</f>
        <v>#REF!</v>
      </c>
      <c r="Y49" s="250" t="e">
        <f>#REF!/'Inversion formato'!$H49</f>
        <v>#REF!</v>
      </c>
      <c r="Z49" s="250" t="e">
        <f>#REF!/'Inversion formato'!$H49</f>
        <v>#REF!</v>
      </c>
      <c r="AA49" s="250" t="e">
        <f>#REF!/'Inversion formato'!$H49</f>
        <v>#REF!</v>
      </c>
      <c r="AB49" s="250" t="e">
        <f>#REF!/'Inversion formato'!$H49</f>
        <v>#REF!</v>
      </c>
      <c r="AC49" s="250" t="e">
        <f>#REF!/'Inversion formato'!$H49</f>
        <v>#REF!</v>
      </c>
      <c r="AD49" s="250" t="e">
        <f>#REF!/'Inversion formato'!$H49</f>
        <v>#REF!</v>
      </c>
      <c r="AE49" s="250" t="e">
        <f>#REF!/'Inversion formato'!$H49</f>
        <v>#REF!</v>
      </c>
      <c r="AF49" s="250" t="e">
        <f>#REF!/'Inversion formato'!$H49</f>
        <v>#REF!</v>
      </c>
      <c r="AG49" s="251" t="e">
        <f t="shared" si="3"/>
        <v>#REF!</v>
      </c>
    </row>
    <row r="50" spans="1:33" outlineLevel="1">
      <c r="A50" s="79" t="e">
        <f>#REF!</f>
        <v>#REF!</v>
      </c>
      <c r="B50" s="80" t="e">
        <f>#REF!</f>
        <v>#REF!</v>
      </c>
      <c r="C50" s="81">
        <f t="shared" si="0"/>
        <v>3792791.793333333</v>
      </c>
      <c r="D50" s="117">
        <f t="shared" si="2"/>
        <v>0.76144624657470072</v>
      </c>
      <c r="E50" s="81">
        <f t="shared" si="1"/>
        <v>2888007.0750729945</v>
      </c>
      <c r="F50" s="94" t="e">
        <f>IF($H$48=0,0,H50/$H$48)</f>
        <v>#REF!</v>
      </c>
      <c r="G50" s="23"/>
      <c r="H50" s="81" t="e">
        <f>#REF!</f>
        <v>#REF!</v>
      </c>
      <c r="I50" s="23"/>
      <c r="J50" s="81">
        <v>3792791.793333333</v>
      </c>
      <c r="K50" s="81">
        <v>3792791.793333333</v>
      </c>
      <c r="L50" s="81" t="e">
        <v>#VALUE!</v>
      </c>
      <c r="M50" s="81" t="e">
        <v>#VALUE!</v>
      </c>
      <c r="N50" s="81" t="e">
        <v>#VALUE!</v>
      </c>
      <c r="O50" s="118"/>
      <c r="P50" s="81">
        <v>2888007.0750729945</v>
      </c>
      <c r="Q50" s="81">
        <v>2888007.0750729945</v>
      </c>
      <c r="R50" s="81" t="e">
        <v>#VALUE!</v>
      </c>
      <c r="S50" s="81" t="e">
        <v>#VALUE!</v>
      </c>
      <c r="T50" s="81" t="e">
        <v>#VALUE!</v>
      </c>
      <c r="V50" s="250" t="e">
        <f>#REF!/'Inversion formato'!$H50</f>
        <v>#REF!</v>
      </c>
      <c r="W50" s="250" t="e">
        <f>#REF!/'Inversion formato'!$H50</f>
        <v>#REF!</v>
      </c>
      <c r="X50" s="250" t="e">
        <f>#REF!/'Inversion formato'!$H50</f>
        <v>#REF!</v>
      </c>
      <c r="Y50" s="250" t="e">
        <f>#REF!/'Inversion formato'!$H50</f>
        <v>#REF!</v>
      </c>
      <c r="Z50" s="250" t="e">
        <f>#REF!/'Inversion formato'!$H50</f>
        <v>#REF!</v>
      </c>
      <c r="AA50" s="250" t="e">
        <f>#REF!/'Inversion formato'!$H50</f>
        <v>#REF!</v>
      </c>
      <c r="AB50" s="250" t="e">
        <f>#REF!/'Inversion formato'!$H50</f>
        <v>#REF!</v>
      </c>
      <c r="AC50" s="250" t="e">
        <f>#REF!/'Inversion formato'!$H50</f>
        <v>#REF!</v>
      </c>
      <c r="AD50" s="250" t="e">
        <f>#REF!/'Inversion formato'!$H50</f>
        <v>#REF!</v>
      </c>
      <c r="AE50" s="250" t="e">
        <f>#REF!/'Inversion formato'!$H50</f>
        <v>#REF!</v>
      </c>
      <c r="AF50" s="250" t="e">
        <f>#REF!/'Inversion formato'!$H50</f>
        <v>#REF!</v>
      </c>
      <c r="AG50" s="251" t="e">
        <f t="shared" si="3"/>
        <v>#REF!</v>
      </c>
    </row>
    <row r="51" spans="1:33" outlineLevel="1">
      <c r="A51" s="79" t="e">
        <f>#REF!</f>
        <v>#REF!</v>
      </c>
      <c r="B51" s="80" t="e">
        <f>#REF!</f>
        <v>#REF!</v>
      </c>
      <c r="C51" s="81">
        <f t="shared" ref="C51:C82" si="7">CHOOSE(Muestra_Alt,J51,K51,L51,M51,N51)</f>
        <v>16633519.834999999</v>
      </c>
      <c r="D51" s="117">
        <f t="shared" si="2"/>
        <v>0.76918997440083803</v>
      </c>
      <c r="E51" s="81">
        <f t="shared" ref="E51:E82" si="8">CHOOSE(Muestra_Alt,P51,Q51,R51,S51,T51)</f>
        <v>12794336.696079481</v>
      </c>
      <c r="F51" s="94" t="e">
        <f>IF($H$48=0,0,H51/$H$48)</f>
        <v>#REF!</v>
      </c>
      <c r="G51" s="23"/>
      <c r="H51" s="81" t="e">
        <f>#REF!</f>
        <v>#REF!</v>
      </c>
      <c r="I51" s="23"/>
      <c r="J51" s="81">
        <v>16633519.834999999</v>
      </c>
      <c r="K51" s="81">
        <v>16633519.834999999</v>
      </c>
      <c r="L51" s="81" t="e">
        <v>#VALUE!</v>
      </c>
      <c r="M51" s="81" t="e">
        <v>#VALUE!</v>
      </c>
      <c r="N51" s="81" t="e">
        <v>#VALUE!</v>
      </c>
      <c r="O51" s="118"/>
      <c r="P51" s="81">
        <v>12794336.696079481</v>
      </c>
      <c r="Q51" s="81">
        <v>12794336.696079481</v>
      </c>
      <c r="R51" s="81" t="e">
        <v>#VALUE!</v>
      </c>
      <c r="S51" s="81" t="e">
        <v>#VALUE!</v>
      </c>
      <c r="T51" s="81" t="e">
        <v>#VALUE!</v>
      </c>
      <c r="V51" s="250" t="e">
        <f>#REF!/'Inversion formato'!$H51</f>
        <v>#REF!</v>
      </c>
      <c r="W51" s="250" t="e">
        <f>#REF!/'Inversion formato'!$H51</f>
        <v>#REF!</v>
      </c>
      <c r="X51" s="250" t="e">
        <f>#REF!/'Inversion formato'!$H51</f>
        <v>#REF!</v>
      </c>
      <c r="Y51" s="250" t="e">
        <f>#REF!/'Inversion formato'!$H51</f>
        <v>#REF!</v>
      </c>
      <c r="Z51" s="250" t="e">
        <f>#REF!/'Inversion formato'!$H51</f>
        <v>#REF!</v>
      </c>
      <c r="AA51" s="250" t="e">
        <f>#REF!/'Inversion formato'!$H51</f>
        <v>#REF!</v>
      </c>
      <c r="AB51" s="250" t="e">
        <f>#REF!/'Inversion formato'!$H51</f>
        <v>#REF!</v>
      </c>
      <c r="AC51" s="250" t="e">
        <f>#REF!/'Inversion formato'!$H51</f>
        <v>#REF!</v>
      </c>
      <c r="AD51" s="250" t="e">
        <f>#REF!/'Inversion formato'!$H51</f>
        <v>#REF!</v>
      </c>
      <c r="AE51" s="250" t="e">
        <f>#REF!/'Inversion formato'!$H51</f>
        <v>#REF!</v>
      </c>
      <c r="AF51" s="250" t="e">
        <f>#REF!/'Inversion formato'!$H51</f>
        <v>#REF!</v>
      </c>
      <c r="AG51" s="251" t="e">
        <f t="shared" si="3"/>
        <v>#REF!</v>
      </c>
    </row>
    <row r="52" spans="1:33" ht="18.75" customHeight="1">
      <c r="A52" s="1103" t="e">
        <f>#REF!</f>
        <v>#REF!</v>
      </c>
      <c r="B52" s="1104" t="e">
        <f>#REF!</f>
        <v>#REF!</v>
      </c>
      <c r="C52" s="1105">
        <f t="shared" si="7"/>
        <v>12911716.053244049</v>
      </c>
      <c r="D52" s="1106">
        <f t="shared" si="2"/>
        <v>0.7702797782903178</v>
      </c>
      <c r="E52" s="1105">
        <f t="shared" si="8"/>
        <v>9945633.778840363</v>
      </c>
      <c r="F52" s="1107" t="e">
        <f>H52/$H$44</f>
        <v>#REF!</v>
      </c>
      <c r="G52" s="23"/>
      <c r="H52" s="1105" t="e">
        <f>SUM(H53:H55)</f>
        <v>#REF!</v>
      </c>
      <c r="I52" s="23"/>
      <c r="J52" s="1105">
        <v>12911716.053244049</v>
      </c>
      <c r="K52" s="1105">
        <v>12911716.053244049</v>
      </c>
      <c r="L52" s="1105" t="e">
        <v>#VALUE!</v>
      </c>
      <c r="M52" s="1105" t="e">
        <v>#VALUE!</v>
      </c>
      <c r="N52" s="1105" t="e">
        <v>#VALUE!</v>
      </c>
      <c r="O52" s="118"/>
      <c r="P52" s="1105">
        <v>9945633.778840363</v>
      </c>
      <c r="Q52" s="1105">
        <v>9945633.778840363</v>
      </c>
      <c r="R52" s="1105" t="e">
        <v>#VALUE!</v>
      </c>
      <c r="S52" s="1105" t="e">
        <v>#VALUE!</v>
      </c>
      <c r="T52" s="1105" t="e">
        <v>#VALUE!</v>
      </c>
      <c r="V52" s="249" t="e">
        <f>#REF!/'Inversion formato'!$H52</f>
        <v>#REF!</v>
      </c>
      <c r="W52" s="249" t="e">
        <f>#REF!/'Inversion formato'!$H52</f>
        <v>#REF!</v>
      </c>
      <c r="X52" s="249" t="e">
        <f>#REF!/'Inversion formato'!$H52</f>
        <v>#REF!</v>
      </c>
      <c r="Y52" s="249" t="e">
        <f>#REF!/'Inversion formato'!$H52</f>
        <v>#REF!</v>
      </c>
      <c r="Z52" s="249" t="e">
        <f>#REF!/'Inversion formato'!$H52</f>
        <v>#REF!</v>
      </c>
      <c r="AA52" s="249" t="e">
        <f>#REF!/'Inversion formato'!$H52</f>
        <v>#REF!</v>
      </c>
      <c r="AB52" s="249" t="e">
        <f>#REF!/'Inversion formato'!$H52</f>
        <v>#REF!</v>
      </c>
      <c r="AC52" s="249" t="e">
        <f>#REF!/'Inversion formato'!$H52</f>
        <v>#REF!</v>
      </c>
      <c r="AD52" s="249" t="e">
        <f>#REF!/'Inversion formato'!$H52</f>
        <v>#REF!</v>
      </c>
      <c r="AE52" s="249" t="e">
        <f>#REF!/'Inversion formato'!$H52</f>
        <v>#REF!</v>
      </c>
      <c r="AF52" s="249" t="e">
        <f>#REF!/'Inversion formato'!$H52</f>
        <v>#REF!</v>
      </c>
      <c r="AG52" s="252" t="e">
        <f t="shared" si="3"/>
        <v>#REF!</v>
      </c>
    </row>
    <row r="53" spans="1:33" outlineLevel="1">
      <c r="A53" s="79" t="e">
        <f>#REF!</f>
        <v>#REF!</v>
      </c>
      <c r="B53" s="80" t="e">
        <f>#REF!</f>
        <v>#REF!</v>
      </c>
      <c r="C53" s="81">
        <f t="shared" si="7"/>
        <v>9036808.7938988097</v>
      </c>
      <c r="D53" s="117">
        <f t="shared" si="2"/>
        <v>0.77363747537330207</v>
      </c>
      <c r="E53" s="81">
        <f t="shared" si="8"/>
        <v>6991213.9407431297</v>
      </c>
      <c r="F53" s="94" t="e">
        <f>IF($H$52=0,0,H53/$H$52)</f>
        <v>#REF!</v>
      </c>
      <c r="G53" s="23"/>
      <c r="H53" s="81" t="e">
        <f>#REF!</f>
        <v>#REF!</v>
      </c>
      <c r="I53" s="23"/>
      <c r="J53" s="81">
        <v>9036808.7938988097</v>
      </c>
      <c r="K53" s="81">
        <v>9036808.7938988097</v>
      </c>
      <c r="L53" s="81" t="e">
        <v>#VALUE!</v>
      </c>
      <c r="M53" s="81" t="e">
        <v>#VALUE!</v>
      </c>
      <c r="N53" s="81" t="e">
        <v>#VALUE!</v>
      </c>
      <c r="O53" s="118"/>
      <c r="P53" s="81">
        <v>6991213.9407431297</v>
      </c>
      <c r="Q53" s="81">
        <v>6991213.9407431297</v>
      </c>
      <c r="R53" s="81" t="e">
        <v>#VALUE!</v>
      </c>
      <c r="S53" s="81" t="e">
        <v>#VALUE!</v>
      </c>
      <c r="T53" s="81" t="e">
        <v>#VALUE!</v>
      </c>
      <c r="V53" s="250" t="e">
        <f>#REF!/'Inversion formato'!$H53</f>
        <v>#REF!</v>
      </c>
      <c r="W53" s="250" t="e">
        <f>#REF!/'Inversion formato'!$H53</f>
        <v>#REF!</v>
      </c>
      <c r="X53" s="250" t="e">
        <f>#REF!/'Inversion formato'!$H53</f>
        <v>#REF!</v>
      </c>
      <c r="Y53" s="250" t="e">
        <f>#REF!/'Inversion formato'!$H53</f>
        <v>#REF!</v>
      </c>
      <c r="Z53" s="250" t="e">
        <f>#REF!/'Inversion formato'!$H53</f>
        <v>#REF!</v>
      </c>
      <c r="AA53" s="250" t="e">
        <f>#REF!/'Inversion formato'!$H53</f>
        <v>#REF!</v>
      </c>
      <c r="AB53" s="250" t="e">
        <f>#REF!/'Inversion formato'!$H53</f>
        <v>#REF!</v>
      </c>
      <c r="AC53" s="250" t="e">
        <f>#REF!/'Inversion formato'!$H53</f>
        <v>#REF!</v>
      </c>
      <c r="AD53" s="250" t="e">
        <f>#REF!/'Inversion formato'!$H53</f>
        <v>#REF!</v>
      </c>
      <c r="AE53" s="250" t="e">
        <f>#REF!/'Inversion formato'!$H53</f>
        <v>#REF!</v>
      </c>
      <c r="AF53" s="250" t="e">
        <f>#REF!/'Inversion formato'!$H53</f>
        <v>#REF!</v>
      </c>
      <c r="AG53" s="251" t="e">
        <f t="shared" si="3"/>
        <v>#REF!</v>
      </c>
    </row>
    <row r="54" spans="1:33" ht="25.5" customHeight="1" outlineLevel="1">
      <c r="A54" s="79" t="e">
        <f>#REF!</f>
        <v>#REF!</v>
      </c>
      <c r="B54" s="80" t="e">
        <f>#REF!</f>
        <v>#REF!</v>
      </c>
      <c r="C54" s="81">
        <f t="shared" si="7"/>
        <v>954240.19101190474</v>
      </c>
      <c r="D54" s="117">
        <f t="shared" si="2"/>
        <v>0.76331240423861713</v>
      </c>
      <c r="E54" s="81">
        <f t="shared" si="8"/>
        <v>728383.37442241423</v>
      </c>
      <c r="F54" s="94" t="e">
        <f>IF($H$52=0,0,H54/$H$52)</f>
        <v>#REF!</v>
      </c>
      <c r="G54" s="23"/>
      <c r="H54" s="81" t="e">
        <f>#REF!</f>
        <v>#REF!</v>
      </c>
      <c r="I54" s="23"/>
      <c r="J54" s="81">
        <v>954240.19101190474</v>
      </c>
      <c r="K54" s="81">
        <v>954240.19101190474</v>
      </c>
      <c r="L54" s="81" t="e">
        <v>#VALUE!</v>
      </c>
      <c r="M54" s="81" t="e">
        <v>#VALUE!</v>
      </c>
      <c r="N54" s="81" t="e">
        <v>#VALUE!</v>
      </c>
      <c r="O54" s="118"/>
      <c r="P54" s="81">
        <v>728383.37442241423</v>
      </c>
      <c r="Q54" s="81">
        <v>728383.37442241423</v>
      </c>
      <c r="R54" s="81" t="e">
        <v>#VALUE!</v>
      </c>
      <c r="S54" s="81" t="e">
        <v>#VALUE!</v>
      </c>
      <c r="T54" s="81" t="e">
        <v>#VALUE!</v>
      </c>
      <c r="V54" s="250" t="e">
        <f>#REF!/'Inversion formato'!$H54</f>
        <v>#REF!</v>
      </c>
      <c r="W54" s="250" t="e">
        <f>#REF!/'Inversion formato'!$H54</f>
        <v>#REF!</v>
      </c>
      <c r="X54" s="250" t="e">
        <f>#REF!/'Inversion formato'!$H54</f>
        <v>#REF!</v>
      </c>
      <c r="Y54" s="250" t="e">
        <f>#REF!/'Inversion formato'!$H54</f>
        <v>#REF!</v>
      </c>
      <c r="Z54" s="250" t="e">
        <f>#REF!/'Inversion formato'!$H54</f>
        <v>#REF!</v>
      </c>
      <c r="AA54" s="250" t="e">
        <f>#REF!/'Inversion formato'!$H54</f>
        <v>#REF!</v>
      </c>
      <c r="AB54" s="250" t="e">
        <f>#REF!/'Inversion formato'!$H54</f>
        <v>#REF!</v>
      </c>
      <c r="AC54" s="250" t="e">
        <f>#REF!/'Inversion formato'!$H54</f>
        <v>#REF!</v>
      </c>
      <c r="AD54" s="250" t="e">
        <f>#REF!/'Inversion formato'!$H54</f>
        <v>#REF!</v>
      </c>
      <c r="AE54" s="250" t="e">
        <f>#REF!/'Inversion formato'!$H54</f>
        <v>#REF!</v>
      </c>
      <c r="AF54" s="250" t="e">
        <f>#REF!/'Inversion formato'!$H54</f>
        <v>#REF!</v>
      </c>
      <c r="AG54" s="251" t="e">
        <f t="shared" si="3"/>
        <v>#REF!</v>
      </c>
    </row>
    <row r="55" spans="1:33" ht="18.75" hidden="1" customHeight="1" outlineLevel="1">
      <c r="A55" s="79" t="e">
        <f>#REF!</f>
        <v>#REF!</v>
      </c>
      <c r="B55" s="80" t="e">
        <f>#REF!</f>
        <v>#REF!</v>
      </c>
      <c r="C55" s="81">
        <f t="shared" si="7"/>
        <v>2920667.0683333334</v>
      </c>
      <c r="D55" s="117">
        <f t="shared" si="2"/>
        <v>0.76216713907932576</v>
      </c>
      <c r="E55" s="81">
        <f t="shared" si="8"/>
        <v>2226036.4636748182</v>
      </c>
      <c r="F55" s="94" t="e">
        <f>IF($H$52=0,0,H55/$H$52)</f>
        <v>#REF!</v>
      </c>
      <c r="G55" s="23"/>
      <c r="H55" s="81" t="e">
        <f>#REF!</f>
        <v>#REF!</v>
      </c>
      <c r="I55" s="23"/>
      <c r="J55" s="81">
        <v>2920667.0683333334</v>
      </c>
      <c r="K55" s="81">
        <v>2920667.0683333334</v>
      </c>
      <c r="L55" s="81" t="e">
        <v>#VALUE!</v>
      </c>
      <c r="M55" s="81" t="e">
        <v>#VALUE!</v>
      </c>
      <c r="N55" s="81" t="e">
        <v>#VALUE!</v>
      </c>
      <c r="O55" s="118"/>
      <c r="P55" s="81">
        <v>2226036.4636748182</v>
      </c>
      <c r="Q55" s="81">
        <v>2226036.4636748182</v>
      </c>
      <c r="R55" s="81" t="e">
        <v>#VALUE!</v>
      </c>
      <c r="S55" s="81" t="e">
        <v>#VALUE!</v>
      </c>
      <c r="T55" s="81" t="e">
        <v>#VALUE!</v>
      </c>
      <c r="V55" s="250" t="e">
        <f>#REF!/'Inversion formato'!$H55</f>
        <v>#REF!</v>
      </c>
      <c r="W55" s="250" t="e">
        <f>#REF!/'Inversion formato'!$H55</f>
        <v>#REF!</v>
      </c>
      <c r="X55" s="250" t="e">
        <f>#REF!/'Inversion formato'!$H55</f>
        <v>#REF!</v>
      </c>
      <c r="Y55" s="250" t="e">
        <f>#REF!/'Inversion formato'!$H55</f>
        <v>#REF!</v>
      </c>
      <c r="Z55" s="250" t="e">
        <f>#REF!/'Inversion formato'!$H55</f>
        <v>#REF!</v>
      </c>
      <c r="AA55" s="250" t="e">
        <f>#REF!/'Inversion formato'!$H55</f>
        <v>#REF!</v>
      </c>
      <c r="AB55" s="250" t="e">
        <f>#REF!/'Inversion formato'!$H55</f>
        <v>#REF!</v>
      </c>
      <c r="AC55" s="250" t="e">
        <f>#REF!/'Inversion formato'!$H55</f>
        <v>#REF!</v>
      </c>
      <c r="AD55" s="250" t="e">
        <f>#REF!/'Inversion formato'!$H55</f>
        <v>#REF!</v>
      </c>
      <c r="AE55" s="250" t="e">
        <f>#REF!/'Inversion formato'!$H55</f>
        <v>#REF!</v>
      </c>
      <c r="AF55" s="250" t="e">
        <f>#REF!/'Inversion formato'!$H55</f>
        <v>#REF!</v>
      </c>
      <c r="AG55" s="251" t="e">
        <f t="shared" si="3"/>
        <v>#REF!</v>
      </c>
    </row>
    <row r="56" spans="1:33" ht="25.5" customHeight="1" outlineLevel="1">
      <c r="A56" s="1109" t="e">
        <f>#REF!</f>
        <v>#REF!</v>
      </c>
      <c r="B56" s="1104" t="e">
        <f>#REF!</f>
        <v>#REF!</v>
      </c>
      <c r="C56" s="1105">
        <f>CHOOSE(Muestra_Alt,J56,K56,L56,M56,N56)</f>
        <v>1857620.4855952384</v>
      </c>
      <c r="D56" s="117">
        <f>IF(C56=0,"n/d",E56/C56)</f>
        <v>0.75714768413697187</v>
      </c>
      <c r="E56" s="1105">
        <f>CHOOSE(Muestra_Alt,P56,Q56,R56,S56,T56)</f>
        <v>1406493.0486738319</v>
      </c>
      <c r="F56" s="1107" t="e">
        <f>H56/$H$44</f>
        <v>#REF!</v>
      </c>
      <c r="G56" s="23"/>
      <c r="H56" s="1105" t="e">
        <f>SUM(H57:H58)</f>
        <v>#REF!</v>
      </c>
      <c r="I56" s="23"/>
      <c r="J56" s="81">
        <v>1857620.4855952384</v>
      </c>
      <c r="K56" s="81">
        <v>1857620.4855952384</v>
      </c>
      <c r="L56" s="81" t="e">
        <v>#VALUE!</v>
      </c>
      <c r="M56" s="81" t="e">
        <v>#VALUE!</v>
      </c>
      <c r="N56" s="81" t="e">
        <v>#VALUE!</v>
      </c>
      <c r="O56" s="118"/>
      <c r="P56" s="81">
        <v>1406493.0486738319</v>
      </c>
      <c r="Q56" s="81">
        <v>1406493.0486738319</v>
      </c>
      <c r="R56" s="81" t="e">
        <v>#VALUE!</v>
      </c>
      <c r="S56" s="81" t="e">
        <v>#VALUE!</v>
      </c>
      <c r="T56" s="81" t="e">
        <v>#VALUE!</v>
      </c>
      <c r="V56" s="250" t="e">
        <f>#REF!/'Inversion formato'!$H56</f>
        <v>#REF!</v>
      </c>
      <c r="W56" s="250" t="e">
        <f>#REF!/'Inversion formato'!$H56</f>
        <v>#REF!</v>
      </c>
      <c r="X56" s="250" t="e">
        <f>#REF!/'Inversion formato'!$H56</f>
        <v>#REF!</v>
      </c>
      <c r="Y56" s="250" t="e">
        <f>#REF!/'Inversion formato'!$H56</f>
        <v>#REF!</v>
      </c>
      <c r="Z56" s="250" t="e">
        <f>#REF!/'Inversion formato'!$H56</f>
        <v>#REF!</v>
      </c>
      <c r="AA56" s="250" t="e">
        <f>#REF!/'Inversion formato'!$H56</f>
        <v>#REF!</v>
      </c>
      <c r="AB56" s="250" t="e">
        <f>#REF!/'Inversion formato'!$H56</f>
        <v>#REF!</v>
      </c>
      <c r="AC56" s="250" t="e">
        <f>#REF!/'Inversion formato'!$H56</f>
        <v>#REF!</v>
      </c>
      <c r="AD56" s="250" t="e">
        <f>#REF!/'Inversion formato'!$H56</f>
        <v>#REF!</v>
      </c>
      <c r="AE56" s="250" t="e">
        <f>#REF!/'Inversion formato'!$H56</f>
        <v>#REF!</v>
      </c>
      <c r="AF56" s="250" t="e">
        <f>#REF!/'Inversion formato'!$H56</f>
        <v>#REF!</v>
      </c>
      <c r="AG56" s="251" t="e">
        <f t="shared" si="3"/>
        <v>#REF!</v>
      </c>
    </row>
    <row r="57" spans="1:33" ht="25.5" customHeight="1" outlineLevel="1">
      <c r="A57" s="79" t="e">
        <f>#REF!</f>
        <v>#REF!</v>
      </c>
      <c r="B57" s="186" t="e">
        <f>#REF!</f>
        <v>#REF!</v>
      </c>
      <c r="C57" s="81">
        <f>CHOOSE(Muestra_Alt,J57,K57,L57,M57,N57)</f>
        <v>0</v>
      </c>
      <c r="D57" s="117" t="str">
        <f>IF(C57=0,"n/d",E57/C57)</f>
        <v>n/d</v>
      </c>
      <c r="E57" s="81">
        <f>CHOOSE(Muestra_Alt,P57,Q57,R57,S57,T57)</f>
        <v>0</v>
      </c>
      <c r="F57" s="94" t="e">
        <f>IF($H$56=0,0,H57/$H$56)</f>
        <v>#REF!</v>
      </c>
      <c r="G57" s="23"/>
      <c r="H57" s="81" t="e">
        <f>#REF!</f>
        <v>#REF!</v>
      </c>
      <c r="I57" s="23"/>
      <c r="J57" s="81">
        <v>0</v>
      </c>
      <c r="K57" s="81">
        <v>0</v>
      </c>
      <c r="L57" s="81" t="e">
        <v>#VALUE!</v>
      </c>
      <c r="M57" s="81" t="e">
        <v>#VALUE!</v>
      </c>
      <c r="N57" s="81" t="e">
        <v>#VALUE!</v>
      </c>
      <c r="O57" s="118"/>
      <c r="P57" s="81">
        <v>0</v>
      </c>
      <c r="Q57" s="81">
        <v>0</v>
      </c>
      <c r="R57" s="81" t="e">
        <v>#VALUE!</v>
      </c>
      <c r="S57" s="81" t="e">
        <v>#VALUE!</v>
      </c>
      <c r="T57" s="81" t="e">
        <v>#VALUE!</v>
      </c>
      <c r="V57" s="250" t="e">
        <f>#REF!/'Inversion formato'!$H57</f>
        <v>#REF!</v>
      </c>
      <c r="W57" s="250" t="e">
        <f>#REF!/'Inversion formato'!$H57</f>
        <v>#REF!</v>
      </c>
      <c r="X57" s="250" t="e">
        <f>#REF!/'Inversion formato'!$H57</f>
        <v>#REF!</v>
      </c>
      <c r="Y57" s="250" t="e">
        <f>#REF!/'Inversion formato'!$H57</f>
        <v>#REF!</v>
      </c>
      <c r="Z57" s="250" t="e">
        <f>#REF!/'Inversion formato'!$H57</f>
        <v>#REF!</v>
      </c>
      <c r="AA57" s="250" t="e">
        <f>#REF!/'Inversion formato'!$H57</f>
        <v>#REF!</v>
      </c>
      <c r="AB57" s="250" t="e">
        <f>#REF!/'Inversion formato'!$H57</f>
        <v>#REF!</v>
      </c>
      <c r="AC57" s="250" t="e">
        <f>#REF!/'Inversion formato'!$H57</f>
        <v>#REF!</v>
      </c>
      <c r="AD57" s="250" t="e">
        <f>#REF!/'Inversion formato'!$H57</f>
        <v>#REF!</v>
      </c>
      <c r="AE57" s="250" t="e">
        <f>#REF!/'Inversion formato'!$H57</f>
        <v>#REF!</v>
      </c>
      <c r="AF57" s="250" t="e">
        <f>#REF!/'Inversion formato'!$H57</f>
        <v>#REF!</v>
      </c>
      <c r="AG57" s="251" t="e">
        <f t="shared" si="3"/>
        <v>#REF!</v>
      </c>
    </row>
    <row r="58" spans="1:33" ht="25.5" customHeight="1" outlineLevel="1">
      <c r="A58" s="79" t="e">
        <f>#REF!</f>
        <v>#REF!</v>
      </c>
      <c r="B58" s="186" t="e">
        <f>#REF!</f>
        <v>#REF!</v>
      </c>
      <c r="C58" s="81">
        <f>CHOOSE(Muestra_Alt,J58,K58,L58,M58,N58)</f>
        <v>1857620.4855952384</v>
      </c>
      <c r="D58" s="117">
        <f>IF(C58=0,"n/d",E58/C58)</f>
        <v>0.75714768413697187</v>
      </c>
      <c r="E58" s="81">
        <f>CHOOSE(Muestra_Alt,P58,Q58,R58,S58,T58)</f>
        <v>1406493.0486738319</v>
      </c>
      <c r="F58" s="94" t="e">
        <f>IF($H$56=0,0,H58/$H$56)</f>
        <v>#REF!</v>
      </c>
      <c r="G58" s="23"/>
      <c r="H58" s="81" t="e">
        <f>#REF!</f>
        <v>#REF!</v>
      </c>
      <c r="I58" s="23"/>
      <c r="J58" s="81">
        <v>1857620.4855952384</v>
      </c>
      <c r="K58" s="81">
        <v>1857620.4855952384</v>
      </c>
      <c r="L58" s="81" t="e">
        <v>#VALUE!</v>
      </c>
      <c r="M58" s="81" t="e">
        <v>#VALUE!</v>
      </c>
      <c r="N58" s="81" t="e">
        <v>#VALUE!</v>
      </c>
      <c r="O58" s="118"/>
      <c r="P58" s="81">
        <v>1406493.0486738319</v>
      </c>
      <c r="Q58" s="81">
        <v>1406493.0486738319</v>
      </c>
      <c r="R58" s="81" t="e">
        <v>#VALUE!</v>
      </c>
      <c r="S58" s="81" t="e">
        <v>#VALUE!</v>
      </c>
      <c r="T58" s="81" t="e">
        <v>#VALUE!</v>
      </c>
      <c r="V58" s="250" t="e">
        <f>#REF!/'Inversion formato'!$H58</f>
        <v>#REF!</v>
      </c>
      <c r="W58" s="250" t="e">
        <f>#REF!/'Inversion formato'!$H58</f>
        <v>#REF!</v>
      </c>
      <c r="X58" s="250" t="e">
        <f>#REF!/'Inversion formato'!$H58</f>
        <v>#REF!</v>
      </c>
      <c r="Y58" s="250" t="e">
        <f>#REF!/'Inversion formato'!$H58</f>
        <v>#REF!</v>
      </c>
      <c r="Z58" s="250" t="e">
        <f>#REF!/'Inversion formato'!$H58</f>
        <v>#REF!</v>
      </c>
      <c r="AA58" s="250" t="e">
        <f>#REF!/'Inversion formato'!$H58</f>
        <v>#REF!</v>
      </c>
      <c r="AB58" s="250" t="e">
        <f>#REF!/'Inversion formato'!$H58</f>
        <v>#REF!</v>
      </c>
      <c r="AC58" s="250" t="e">
        <f>#REF!/'Inversion formato'!$H58</f>
        <v>#REF!</v>
      </c>
      <c r="AD58" s="250" t="e">
        <f>#REF!/'Inversion formato'!$H58</f>
        <v>#REF!</v>
      </c>
      <c r="AE58" s="250" t="e">
        <f>#REF!/'Inversion formato'!$H58</f>
        <v>#REF!</v>
      </c>
      <c r="AF58" s="250" t="e">
        <f>#REF!/'Inversion formato'!$H58</f>
        <v>#REF!</v>
      </c>
      <c r="AG58" s="251" t="e">
        <f t="shared" si="3"/>
        <v>#REF!</v>
      </c>
    </row>
    <row r="59" spans="1:33" ht="18.75" customHeight="1">
      <c r="A59" s="1110" t="e">
        <f>#REF!</f>
        <v>#REF!</v>
      </c>
      <c r="B59" s="1098" t="e">
        <f>#REF!</f>
        <v>#REF!</v>
      </c>
      <c r="C59" s="1099">
        <f t="shared" si="7"/>
        <v>52418619.450178578</v>
      </c>
      <c r="D59" s="1100">
        <f t="shared" si="2"/>
        <v>0.78519990769819736</v>
      </c>
      <c r="E59" s="1099">
        <f t="shared" si="8"/>
        <v>41159095.153947152</v>
      </c>
      <c r="F59" s="1101" t="e">
        <f>H59/$H$84</f>
        <v>#REF!</v>
      </c>
      <c r="G59" s="23"/>
      <c r="H59" s="1099" t="e">
        <f>H60+H63+H67+H71+H76</f>
        <v>#REF!</v>
      </c>
      <c r="I59" s="23"/>
      <c r="J59" s="1099">
        <v>52418619.450178578</v>
      </c>
      <c r="K59" s="1099">
        <v>52418619.450178578</v>
      </c>
      <c r="L59" s="1099" t="e">
        <v>#VALUE!</v>
      </c>
      <c r="M59" s="1099" t="e">
        <v>#VALUE!</v>
      </c>
      <c r="N59" s="1099" t="e">
        <v>#VALUE!</v>
      </c>
      <c r="O59" s="118"/>
      <c r="P59" s="1099">
        <v>41159095.153947152</v>
      </c>
      <c r="Q59" s="1099">
        <v>41159095.153947152</v>
      </c>
      <c r="R59" s="1099" t="e">
        <v>#VALUE!</v>
      </c>
      <c r="S59" s="1099" t="e">
        <v>#VALUE!</v>
      </c>
      <c r="T59" s="1099" t="e">
        <v>#VALUE!</v>
      </c>
      <c r="V59" s="1102" t="e">
        <f>#REF!/'Inversion formato'!$H59</f>
        <v>#REF!</v>
      </c>
      <c r="W59" s="1102" t="e">
        <f>#REF!/'Inversion formato'!$H59</f>
        <v>#REF!</v>
      </c>
      <c r="X59" s="1102" t="e">
        <f>#REF!/'Inversion formato'!$H59</f>
        <v>#REF!</v>
      </c>
      <c r="Y59" s="1102" t="e">
        <f>#REF!/'Inversion formato'!$H59</f>
        <v>#REF!</v>
      </c>
      <c r="Z59" s="1102" t="e">
        <f>#REF!/'Inversion formato'!$H59</f>
        <v>#REF!</v>
      </c>
      <c r="AA59" s="1102" t="e">
        <f>#REF!/'Inversion formato'!$H59</f>
        <v>#REF!</v>
      </c>
      <c r="AB59" s="1102" t="e">
        <f>#REF!/'Inversion formato'!$H59</f>
        <v>#REF!</v>
      </c>
      <c r="AC59" s="1102" t="e">
        <f>#REF!/'Inversion formato'!$H59</f>
        <v>#REF!</v>
      </c>
      <c r="AD59" s="1102" t="e">
        <f>#REF!/'Inversion formato'!$H59</f>
        <v>#REF!</v>
      </c>
      <c r="AE59" s="1102" t="e">
        <f>#REF!/'Inversion formato'!$H59</f>
        <v>#REF!</v>
      </c>
      <c r="AF59" s="1102" t="e">
        <f>#REF!/'Inversion formato'!$H59</f>
        <v>#REF!</v>
      </c>
      <c r="AG59" s="1082" t="e">
        <f t="shared" si="3"/>
        <v>#REF!</v>
      </c>
    </row>
    <row r="60" spans="1:33" ht="18.75" customHeight="1">
      <c r="A60" s="1103" t="e">
        <f>#REF!</f>
        <v>#REF!</v>
      </c>
      <c r="B60" s="1104" t="e">
        <f>#REF!</f>
        <v>#REF!</v>
      </c>
      <c r="C60" s="1105">
        <f t="shared" si="7"/>
        <v>13229634.000000007</v>
      </c>
      <c r="D60" s="1106">
        <f t="shared" si="2"/>
        <v>0.76685132474421169</v>
      </c>
      <c r="E60" s="1105">
        <f t="shared" si="8"/>
        <v>10145162.35878107</v>
      </c>
      <c r="F60" s="1107" t="e">
        <f>H60/$H$59</f>
        <v>#REF!</v>
      </c>
      <c r="G60" s="23"/>
      <c r="H60" s="1105" t="e">
        <f>SUM(H61:H62)</f>
        <v>#REF!</v>
      </c>
      <c r="I60" s="23"/>
      <c r="J60" s="1105">
        <v>13229634.000000007</v>
      </c>
      <c r="K60" s="1105">
        <v>13229634.000000007</v>
      </c>
      <c r="L60" s="1105" t="e">
        <v>#VALUE!</v>
      </c>
      <c r="M60" s="1105" t="e">
        <v>#VALUE!</v>
      </c>
      <c r="N60" s="1105" t="e">
        <v>#VALUE!</v>
      </c>
      <c r="O60" s="118"/>
      <c r="P60" s="1105">
        <v>10145162.35878107</v>
      </c>
      <c r="Q60" s="1105">
        <v>10145162.35878107</v>
      </c>
      <c r="R60" s="1105" t="e">
        <v>#VALUE!</v>
      </c>
      <c r="S60" s="1105" t="e">
        <v>#VALUE!</v>
      </c>
      <c r="T60" s="1105" t="e">
        <v>#VALUE!</v>
      </c>
      <c r="V60" s="249" t="e">
        <f>#REF!/'Inversion formato'!$H60</f>
        <v>#REF!</v>
      </c>
      <c r="W60" s="249" t="e">
        <f>#REF!/'Inversion formato'!$H60</f>
        <v>#REF!</v>
      </c>
      <c r="X60" s="249" t="e">
        <f>#REF!/'Inversion formato'!$H60</f>
        <v>#REF!</v>
      </c>
      <c r="Y60" s="249" t="e">
        <f>#REF!/'Inversion formato'!$H60</f>
        <v>#REF!</v>
      </c>
      <c r="Z60" s="249" t="e">
        <f>#REF!/'Inversion formato'!$H60</f>
        <v>#REF!</v>
      </c>
      <c r="AA60" s="249" t="e">
        <f>#REF!/'Inversion formato'!$H60</f>
        <v>#REF!</v>
      </c>
      <c r="AB60" s="249" t="e">
        <f>#REF!/'Inversion formato'!$H60</f>
        <v>#REF!</v>
      </c>
      <c r="AC60" s="249" t="e">
        <f>#REF!/'Inversion formato'!$H60</f>
        <v>#REF!</v>
      </c>
      <c r="AD60" s="249" t="e">
        <f>#REF!/'Inversion formato'!$H60</f>
        <v>#REF!</v>
      </c>
      <c r="AE60" s="249" t="e">
        <f>#REF!/'Inversion formato'!$H60</f>
        <v>#REF!</v>
      </c>
      <c r="AF60" s="249" t="e">
        <f>#REF!/'Inversion formato'!$H60</f>
        <v>#REF!</v>
      </c>
      <c r="AG60" s="252" t="e">
        <f t="shared" si="3"/>
        <v>#REF!</v>
      </c>
    </row>
    <row r="61" spans="1:33" ht="18.75" customHeight="1" outlineLevel="1">
      <c r="A61" s="79" t="e">
        <f>#REF!</f>
        <v>#REF!</v>
      </c>
      <c r="B61" s="80" t="e">
        <f>#REF!</f>
        <v>#REF!</v>
      </c>
      <c r="C61" s="81">
        <f t="shared" si="7"/>
        <v>8252178</v>
      </c>
      <c r="D61" s="117">
        <f t="shared" si="2"/>
        <v>0.76555244523445509</v>
      </c>
      <c r="E61" s="81">
        <f t="shared" si="8"/>
        <v>6317475.0464099748</v>
      </c>
      <c r="F61" s="94" t="e">
        <f>IF($H$60=0,0,H61/$H$60)</f>
        <v>#REF!</v>
      </c>
      <c r="G61" s="23"/>
      <c r="H61" s="81" t="e">
        <f>#REF!</f>
        <v>#REF!</v>
      </c>
      <c r="I61" s="23"/>
      <c r="J61" s="81">
        <v>8252178</v>
      </c>
      <c r="K61" s="81">
        <v>8252178</v>
      </c>
      <c r="L61" s="81" t="e">
        <v>#VALUE!</v>
      </c>
      <c r="M61" s="81" t="e">
        <v>#VALUE!</v>
      </c>
      <c r="N61" s="81" t="e">
        <v>#VALUE!</v>
      </c>
      <c r="O61" s="118"/>
      <c r="P61" s="81">
        <v>6317475.0464099748</v>
      </c>
      <c r="Q61" s="81">
        <v>6317475.0464099748</v>
      </c>
      <c r="R61" s="81" t="e">
        <v>#VALUE!</v>
      </c>
      <c r="S61" s="81" t="e">
        <v>#VALUE!</v>
      </c>
      <c r="T61" s="81" t="e">
        <v>#VALUE!</v>
      </c>
      <c r="V61" s="250" t="e">
        <f>#REF!/'Inversion formato'!$H61</f>
        <v>#REF!</v>
      </c>
      <c r="W61" s="250" t="e">
        <f>#REF!/'Inversion formato'!$H61</f>
        <v>#REF!</v>
      </c>
      <c r="X61" s="250" t="e">
        <f>#REF!/'Inversion formato'!$H61</f>
        <v>#REF!</v>
      </c>
      <c r="Y61" s="250" t="e">
        <f>#REF!/'Inversion formato'!$H61</f>
        <v>#REF!</v>
      </c>
      <c r="Z61" s="250" t="e">
        <f>#REF!/'Inversion formato'!$H61</f>
        <v>#REF!</v>
      </c>
      <c r="AA61" s="250" t="e">
        <f>#REF!/'Inversion formato'!$H61</f>
        <v>#REF!</v>
      </c>
      <c r="AB61" s="250" t="e">
        <f>#REF!/'Inversion formato'!$H61</f>
        <v>#REF!</v>
      </c>
      <c r="AC61" s="250" t="e">
        <f>#REF!/'Inversion formato'!$H61</f>
        <v>#REF!</v>
      </c>
      <c r="AD61" s="250" t="e">
        <f>#REF!/'Inversion formato'!$H61</f>
        <v>#REF!</v>
      </c>
      <c r="AE61" s="250" t="e">
        <f>#REF!/'Inversion formato'!$H61</f>
        <v>#REF!</v>
      </c>
      <c r="AF61" s="250" t="e">
        <f>#REF!/'Inversion formato'!$H61</f>
        <v>#REF!</v>
      </c>
      <c r="AG61" s="251" t="e">
        <f t="shared" si="3"/>
        <v>#REF!</v>
      </c>
    </row>
    <row r="62" spans="1:33" outlineLevel="1">
      <c r="A62" s="79" t="e">
        <f>#REF!</f>
        <v>#REF!</v>
      </c>
      <c r="B62" s="80" t="e">
        <f>#REF!</f>
        <v>#REF!</v>
      </c>
      <c r="C62" s="81">
        <f t="shared" si="7"/>
        <v>4977456.0000000065</v>
      </c>
      <c r="D62" s="117">
        <f t="shared" si="2"/>
        <v>0.76900475109595923</v>
      </c>
      <c r="E62" s="81">
        <f t="shared" si="8"/>
        <v>3827687.3123710938</v>
      </c>
      <c r="F62" s="94" t="e">
        <f>IF($H$60=0,0,H62/$H$60)</f>
        <v>#REF!</v>
      </c>
      <c r="G62" s="23"/>
      <c r="H62" s="81" t="e">
        <f>#REF!</f>
        <v>#REF!</v>
      </c>
      <c r="I62" s="23"/>
      <c r="J62" s="81">
        <v>4977456.0000000065</v>
      </c>
      <c r="K62" s="81">
        <v>4977456.0000000065</v>
      </c>
      <c r="L62" s="81" t="e">
        <v>#VALUE!</v>
      </c>
      <c r="M62" s="81" t="e">
        <v>#VALUE!</v>
      </c>
      <c r="N62" s="81" t="e">
        <v>#VALUE!</v>
      </c>
      <c r="O62" s="118"/>
      <c r="P62" s="81">
        <v>3827687.3123710938</v>
      </c>
      <c r="Q62" s="81">
        <v>3827687.3123710938</v>
      </c>
      <c r="R62" s="81" t="e">
        <v>#VALUE!</v>
      </c>
      <c r="S62" s="81" t="e">
        <v>#VALUE!</v>
      </c>
      <c r="T62" s="81" t="e">
        <v>#VALUE!</v>
      </c>
      <c r="V62" s="250" t="e">
        <f>#REF!/'Inversion formato'!$H62</f>
        <v>#REF!</v>
      </c>
      <c r="W62" s="250" t="e">
        <f>#REF!/'Inversion formato'!$H62</f>
        <v>#REF!</v>
      </c>
      <c r="X62" s="250" t="e">
        <f>#REF!/'Inversion formato'!$H62</f>
        <v>#REF!</v>
      </c>
      <c r="Y62" s="250" t="e">
        <f>#REF!/'Inversion formato'!$H62</f>
        <v>#REF!</v>
      </c>
      <c r="Z62" s="250" t="e">
        <f>#REF!/'Inversion formato'!$H62</f>
        <v>#REF!</v>
      </c>
      <c r="AA62" s="250" t="e">
        <f>#REF!/'Inversion formato'!$H62</f>
        <v>#REF!</v>
      </c>
      <c r="AB62" s="250" t="e">
        <f>#REF!/'Inversion formato'!$H62</f>
        <v>#REF!</v>
      </c>
      <c r="AC62" s="250" t="e">
        <f>#REF!/'Inversion formato'!$H62</f>
        <v>#REF!</v>
      </c>
      <c r="AD62" s="250" t="e">
        <f>#REF!/'Inversion formato'!$H62</f>
        <v>#REF!</v>
      </c>
      <c r="AE62" s="250" t="e">
        <f>#REF!/'Inversion formato'!$H62</f>
        <v>#REF!</v>
      </c>
      <c r="AF62" s="250" t="e">
        <f>#REF!/'Inversion formato'!$H62</f>
        <v>#REF!</v>
      </c>
      <c r="AG62" s="251" t="e">
        <f t="shared" si="3"/>
        <v>#REF!</v>
      </c>
    </row>
    <row r="63" spans="1:33" ht="18.75" customHeight="1">
      <c r="A63" s="1103" t="e">
        <f>#REF!</f>
        <v>#REF!</v>
      </c>
      <c r="B63" s="1104" t="e">
        <f>#REF!</f>
        <v>#REF!</v>
      </c>
      <c r="C63" s="1105">
        <f t="shared" si="7"/>
        <v>21479535</v>
      </c>
      <c r="D63" s="1106">
        <f t="shared" si="2"/>
        <v>0.80974477236949138</v>
      </c>
      <c r="E63" s="1105">
        <f t="shared" si="8"/>
        <v>17392941.179177523</v>
      </c>
      <c r="F63" s="1107" t="e">
        <f>H63/$H$59</f>
        <v>#REF!</v>
      </c>
      <c r="G63" s="23"/>
      <c r="H63" s="1105" t="e">
        <f>SUM(H64:H66)</f>
        <v>#REF!</v>
      </c>
      <c r="I63" s="23"/>
      <c r="J63" s="1105">
        <v>21479535</v>
      </c>
      <c r="K63" s="1105">
        <v>21479535</v>
      </c>
      <c r="L63" s="1105" t="e">
        <v>#VALUE!</v>
      </c>
      <c r="M63" s="1105" t="e">
        <v>#VALUE!</v>
      </c>
      <c r="N63" s="1105" t="e">
        <v>#VALUE!</v>
      </c>
      <c r="O63" s="118"/>
      <c r="P63" s="1105">
        <v>17392941.179177523</v>
      </c>
      <c r="Q63" s="1105">
        <v>17392941.179177523</v>
      </c>
      <c r="R63" s="1105" t="e">
        <v>#VALUE!</v>
      </c>
      <c r="S63" s="1105" t="e">
        <v>#VALUE!</v>
      </c>
      <c r="T63" s="1105" t="e">
        <v>#VALUE!</v>
      </c>
      <c r="V63" s="249" t="e">
        <f>#REF!/'Inversion formato'!$H63</f>
        <v>#REF!</v>
      </c>
      <c r="W63" s="249" t="e">
        <f>#REF!/'Inversion formato'!$H63</f>
        <v>#REF!</v>
      </c>
      <c r="X63" s="249" t="e">
        <f>#REF!/'Inversion formato'!$H63</f>
        <v>#REF!</v>
      </c>
      <c r="Y63" s="249" t="e">
        <f>#REF!/'Inversion formato'!$H63</f>
        <v>#REF!</v>
      </c>
      <c r="Z63" s="249" t="e">
        <f>#REF!/'Inversion formato'!$H63</f>
        <v>#REF!</v>
      </c>
      <c r="AA63" s="249" t="e">
        <f>#REF!/'Inversion formato'!$H63</f>
        <v>#REF!</v>
      </c>
      <c r="AB63" s="249" t="e">
        <f>#REF!/'Inversion formato'!$H63</f>
        <v>#REF!</v>
      </c>
      <c r="AC63" s="249" t="e">
        <f>#REF!/'Inversion formato'!$H63</f>
        <v>#REF!</v>
      </c>
      <c r="AD63" s="249" t="e">
        <f>#REF!/'Inversion formato'!$H63</f>
        <v>#REF!</v>
      </c>
      <c r="AE63" s="249" t="e">
        <f>#REF!/'Inversion formato'!$H63</f>
        <v>#REF!</v>
      </c>
      <c r="AF63" s="249" t="e">
        <f>#REF!/'Inversion formato'!$H63</f>
        <v>#REF!</v>
      </c>
      <c r="AG63" s="252" t="e">
        <f t="shared" si="3"/>
        <v>#REF!</v>
      </c>
    </row>
    <row r="64" spans="1:33" ht="18.75" customHeight="1" outlineLevel="1">
      <c r="A64" s="79" t="e">
        <f>#REF!</f>
        <v>#REF!</v>
      </c>
      <c r="B64" s="80" t="e">
        <f>#REF!</f>
        <v>#REF!</v>
      </c>
      <c r="C64" s="81">
        <f t="shared" si="7"/>
        <v>4940100</v>
      </c>
      <c r="D64" s="117">
        <f t="shared" si="2"/>
        <v>0.76890380884146048</v>
      </c>
      <c r="E64" s="81">
        <f t="shared" si="8"/>
        <v>3798461.7060576989</v>
      </c>
      <c r="F64" s="94" t="e">
        <f>IF($H$63=0,0,H64/$H$63)</f>
        <v>#REF!</v>
      </c>
      <c r="G64" s="23"/>
      <c r="H64" s="81" t="e">
        <f>#REF!</f>
        <v>#REF!</v>
      </c>
      <c r="I64" s="23"/>
      <c r="J64" s="81">
        <v>4940100</v>
      </c>
      <c r="K64" s="81">
        <v>4940100</v>
      </c>
      <c r="L64" s="81" t="e">
        <v>#VALUE!</v>
      </c>
      <c r="M64" s="81" t="e">
        <v>#VALUE!</v>
      </c>
      <c r="N64" s="81" t="e">
        <v>#VALUE!</v>
      </c>
      <c r="O64" s="118"/>
      <c r="P64" s="81">
        <v>3798461.7060576989</v>
      </c>
      <c r="Q64" s="81">
        <v>3798461.7060576989</v>
      </c>
      <c r="R64" s="81" t="e">
        <v>#VALUE!</v>
      </c>
      <c r="S64" s="81" t="e">
        <v>#VALUE!</v>
      </c>
      <c r="T64" s="81" t="e">
        <v>#VALUE!</v>
      </c>
      <c r="V64" s="250" t="e">
        <f>#REF!/'Inversion formato'!$H64</f>
        <v>#REF!</v>
      </c>
      <c r="W64" s="250" t="e">
        <f>#REF!/'Inversion formato'!$H64</f>
        <v>#REF!</v>
      </c>
      <c r="X64" s="250" t="e">
        <f>#REF!/'Inversion formato'!$H64</f>
        <v>#REF!</v>
      </c>
      <c r="Y64" s="250" t="e">
        <f>#REF!/'Inversion formato'!$H64</f>
        <v>#REF!</v>
      </c>
      <c r="Z64" s="250" t="e">
        <f>#REF!/'Inversion formato'!$H64</f>
        <v>#REF!</v>
      </c>
      <c r="AA64" s="250" t="e">
        <f>#REF!/'Inversion formato'!$H64</f>
        <v>#REF!</v>
      </c>
      <c r="AB64" s="250" t="e">
        <f>#REF!/'Inversion formato'!$H64</f>
        <v>#REF!</v>
      </c>
      <c r="AC64" s="250" t="e">
        <f>#REF!/'Inversion formato'!$H64</f>
        <v>#REF!</v>
      </c>
      <c r="AD64" s="250" t="e">
        <f>#REF!/'Inversion formato'!$H64</f>
        <v>#REF!</v>
      </c>
      <c r="AE64" s="250" t="e">
        <f>#REF!/'Inversion formato'!$H64</f>
        <v>#REF!</v>
      </c>
      <c r="AF64" s="250" t="e">
        <f>#REF!/'Inversion formato'!$H64</f>
        <v>#REF!</v>
      </c>
      <c r="AG64" s="251" t="e">
        <f t="shared" si="3"/>
        <v>#REF!</v>
      </c>
    </row>
    <row r="65" spans="1:33" ht="18.75" customHeight="1" outlineLevel="1">
      <c r="A65" s="79" t="e">
        <f>#REF!</f>
        <v>#REF!</v>
      </c>
      <c r="B65" s="80" t="e">
        <f>#REF!</f>
        <v>#REF!</v>
      </c>
      <c r="C65" s="81">
        <f t="shared" si="7"/>
        <v>4988940</v>
      </c>
      <c r="D65" s="117">
        <f t="shared" si="2"/>
        <v>0.76788437617156202</v>
      </c>
      <c r="E65" s="81">
        <f t="shared" si="8"/>
        <v>3830929.0796573525</v>
      </c>
      <c r="F65" s="94" t="e">
        <f>IF($H$63=0,0,H65/$H$63)</f>
        <v>#REF!</v>
      </c>
      <c r="G65" s="23"/>
      <c r="H65" s="81" t="e">
        <f>#REF!</f>
        <v>#REF!</v>
      </c>
      <c r="I65" s="23"/>
      <c r="J65" s="81">
        <v>4988940</v>
      </c>
      <c r="K65" s="81">
        <v>4988940</v>
      </c>
      <c r="L65" s="81" t="e">
        <v>#VALUE!</v>
      </c>
      <c r="M65" s="81" t="e">
        <v>#VALUE!</v>
      </c>
      <c r="N65" s="81" t="e">
        <v>#VALUE!</v>
      </c>
      <c r="O65" s="118"/>
      <c r="P65" s="81">
        <v>3830929.0796573525</v>
      </c>
      <c r="Q65" s="81">
        <v>3830929.0796573525</v>
      </c>
      <c r="R65" s="81" t="e">
        <v>#VALUE!</v>
      </c>
      <c r="S65" s="81" t="e">
        <v>#VALUE!</v>
      </c>
      <c r="T65" s="81" t="e">
        <v>#VALUE!</v>
      </c>
      <c r="V65" s="250" t="e">
        <f>#REF!/'Inversion formato'!$H65</f>
        <v>#REF!</v>
      </c>
      <c r="W65" s="250" t="e">
        <f>#REF!/'Inversion formato'!$H65</f>
        <v>#REF!</v>
      </c>
      <c r="X65" s="250" t="e">
        <f>#REF!/'Inversion formato'!$H65</f>
        <v>#REF!</v>
      </c>
      <c r="Y65" s="250" t="e">
        <f>#REF!/'Inversion formato'!$H65</f>
        <v>#REF!</v>
      </c>
      <c r="Z65" s="250" t="e">
        <f>#REF!/'Inversion formato'!$H65</f>
        <v>#REF!</v>
      </c>
      <c r="AA65" s="250" t="e">
        <f>#REF!/'Inversion formato'!$H65</f>
        <v>#REF!</v>
      </c>
      <c r="AB65" s="250" t="e">
        <f>#REF!/'Inversion formato'!$H65</f>
        <v>#REF!</v>
      </c>
      <c r="AC65" s="250" t="e">
        <f>#REF!/'Inversion formato'!$H65</f>
        <v>#REF!</v>
      </c>
      <c r="AD65" s="250" t="e">
        <f>#REF!/'Inversion formato'!$H65</f>
        <v>#REF!</v>
      </c>
      <c r="AE65" s="250" t="e">
        <f>#REF!/'Inversion formato'!$H65</f>
        <v>#REF!</v>
      </c>
      <c r="AF65" s="250" t="e">
        <f>#REF!/'Inversion formato'!$H65</f>
        <v>#REF!</v>
      </c>
      <c r="AG65" s="251" t="e">
        <f t="shared" si="3"/>
        <v>#REF!</v>
      </c>
    </row>
    <row r="66" spans="1:33" ht="18.75" customHeight="1" outlineLevel="1">
      <c r="A66" s="79" t="e">
        <f>#REF!</f>
        <v>#REF!</v>
      </c>
      <c r="B66" s="80" t="e">
        <f>#REF!</f>
        <v>#REF!</v>
      </c>
      <c r="C66" s="81">
        <f t="shared" si="7"/>
        <v>11550495</v>
      </c>
      <c r="D66" s="117">
        <f t="shared" si="2"/>
        <v>0.84529281156023783</v>
      </c>
      <c r="E66" s="81">
        <f t="shared" si="8"/>
        <v>9763550.3934624698</v>
      </c>
      <c r="F66" s="94" t="e">
        <f>IF($H$63=0,0,H66/$H$63)</f>
        <v>#REF!</v>
      </c>
      <c r="G66" s="23"/>
      <c r="H66" s="81" t="e">
        <f>#REF!</f>
        <v>#REF!</v>
      </c>
      <c r="I66" s="23"/>
      <c r="J66" s="81">
        <v>11550495</v>
      </c>
      <c r="K66" s="81">
        <v>11550495</v>
      </c>
      <c r="L66" s="81" t="e">
        <v>#VALUE!</v>
      </c>
      <c r="M66" s="81" t="e">
        <v>#VALUE!</v>
      </c>
      <c r="N66" s="81" t="e">
        <v>#VALUE!</v>
      </c>
      <c r="O66" s="118"/>
      <c r="P66" s="81">
        <v>9763550.3934624698</v>
      </c>
      <c r="Q66" s="81">
        <v>9763550.3934624698</v>
      </c>
      <c r="R66" s="81" t="e">
        <v>#VALUE!</v>
      </c>
      <c r="S66" s="81" t="e">
        <v>#VALUE!</v>
      </c>
      <c r="T66" s="81" t="e">
        <v>#VALUE!</v>
      </c>
      <c r="V66" s="250" t="e">
        <f>#REF!/'Inversion formato'!$H66</f>
        <v>#REF!</v>
      </c>
      <c r="W66" s="250" t="e">
        <f>#REF!/'Inversion formato'!$H66</f>
        <v>#REF!</v>
      </c>
      <c r="X66" s="250" t="e">
        <f>#REF!/'Inversion formato'!$H66</f>
        <v>#REF!</v>
      </c>
      <c r="Y66" s="250" t="e">
        <f>#REF!/'Inversion formato'!$H66</f>
        <v>#REF!</v>
      </c>
      <c r="Z66" s="250" t="e">
        <f>#REF!/'Inversion formato'!$H66</f>
        <v>#REF!</v>
      </c>
      <c r="AA66" s="250" t="e">
        <f>#REF!/'Inversion formato'!$H66</f>
        <v>#REF!</v>
      </c>
      <c r="AB66" s="250" t="e">
        <f>#REF!/'Inversion formato'!$H66</f>
        <v>#REF!</v>
      </c>
      <c r="AC66" s="250" t="e">
        <f>#REF!/'Inversion formato'!$H66</f>
        <v>#REF!</v>
      </c>
      <c r="AD66" s="250" t="e">
        <f>#REF!/'Inversion formato'!$H66</f>
        <v>#REF!</v>
      </c>
      <c r="AE66" s="250" t="e">
        <f>#REF!/'Inversion formato'!$H66</f>
        <v>#REF!</v>
      </c>
      <c r="AF66" s="250" t="e">
        <f>#REF!/'Inversion formato'!$H66</f>
        <v>#REF!</v>
      </c>
      <c r="AG66" s="251" t="e">
        <f t="shared" si="3"/>
        <v>#REF!</v>
      </c>
    </row>
    <row r="67" spans="1:33" ht="18.75" customHeight="1">
      <c r="A67" s="1103" t="e">
        <f>#REF!</f>
        <v>#REF!</v>
      </c>
      <c r="B67" s="1104" t="e">
        <f>#REF!</f>
        <v>#REF!</v>
      </c>
      <c r="C67" s="1105">
        <f t="shared" si="7"/>
        <v>10049482.593928572</v>
      </c>
      <c r="D67" s="1106">
        <f t="shared" si="2"/>
        <v>0.76721401894440788</v>
      </c>
      <c r="E67" s="1105">
        <f t="shared" si="8"/>
        <v>7710103.929199812</v>
      </c>
      <c r="F67" s="1107" t="e">
        <f>H67/$H$59</f>
        <v>#REF!</v>
      </c>
      <c r="G67" s="23"/>
      <c r="H67" s="1105" t="e">
        <f>SUM(H68:H70)</f>
        <v>#REF!</v>
      </c>
      <c r="I67" s="23"/>
      <c r="J67" s="1105">
        <v>10049482.593928572</v>
      </c>
      <c r="K67" s="1105">
        <v>10049482.593928572</v>
      </c>
      <c r="L67" s="1105" t="e">
        <v>#VALUE!</v>
      </c>
      <c r="M67" s="1105" t="e">
        <v>#VALUE!</v>
      </c>
      <c r="N67" s="1105" t="e">
        <v>#VALUE!</v>
      </c>
      <c r="O67" s="118"/>
      <c r="P67" s="1105">
        <v>7710103.929199812</v>
      </c>
      <c r="Q67" s="1105">
        <v>7710103.929199812</v>
      </c>
      <c r="R67" s="1105" t="e">
        <v>#VALUE!</v>
      </c>
      <c r="S67" s="1105" t="e">
        <v>#VALUE!</v>
      </c>
      <c r="T67" s="1105" t="e">
        <v>#VALUE!</v>
      </c>
      <c r="V67" s="250" t="e">
        <f>#REF!/'Inversion formato'!$H67</f>
        <v>#REF!</v>
      </c>
      <c r="W67" s="250" t="e">
        <f>#REF!/'Inversion formato'!$H67</f>
        <v>#REF!</v>
      </c>
      <c r="X67" s="250" t="e">
        <f>#REF!/'Inversion formato'!$H67</f>
        <v>#REF!</v>
      </c>
      <c r="Y67" s="250" t="e">
        <f>#REF!/'Inversion formato'!$H67</f>
        <v>#REF!</v>
      </c>
      <c r="Z67" s="250" t="e">
        <f>#REF!/'Inversion formato'!$H67</f>
        <v>#REF!</v>
      </c>
      <c r="AA67" s="250" t="e">
        <f>#REF!/'Inversion formato'!$H67</f>
        <v>#REF!</v>
      </c>
      <c r="AB67" s="250" t="e">
        <f>#REF!/'Inversion formato'!$H67</f>
        <v>#REF!</v>
      </c>
      <c r="AC67" s="250" t="e">
        <f>#REF!/'Inversion formato'!$H67</f>
        <v>#REF!</v>
      </c>
      <c r="AD67" s="250" t="e">
        <f>#REF!/'Inversion formato'!$H67</f>
        <v>#REF!</v>
      </c>
      <c r="AE67" s="250" t="e">
        <f>#REF!/'Inversion formato'!$H67</f>
        <v>#REF!</v>
      </c>
      <c r="AF67" s="250" t="e">
        <f>#REF!/'Inversion formato'!$H67</f>
        <v>#REF!</v>
      </c>
      <c r="AG67" s="251" t="e">
        <f t="shared" si="3"/>
        <v>#REF!</v>
      </c>
    </row>
    <row r="68" spans="1:33" ht="18.75" customHeight="1" outlineLevel="1">
      <c r="A68" s="79" t="e">
        <f>#REF!</f>
        <v>#REF!</v>
      </c>
      <c r="B68" s="80" t="e">
        <f>#REF!</f>
        <v>#REF!</v>
      </c>
      <c r="C68" s="81">
        <f t="shared" si="7"/>
        <v>4841760</v>
      </c>
      <c r="D68" s="117">
        <f t="shared" si="2"/>
        <v>0.76729648284232033</v>
      </c>
      <c r="E68" s="81">
        <f t="shared" si="8"/>
        <v>3715065.4187666327</v>
      </c>
      <c r="F68" s="94" t="e">
        <f>IF($H$67=0,0,H68/$H$67)</f>
        <v>#REF!</v>
      </c>
      <c r="G68" s="23"/>
      <c r="H68" s="81" t="e">
        <f>#REF!</f>
        <v>#REF!</v>
      </c>
      <c r="I68" s="23"/>
      <c r="J68" s="81">
        <v>4841760</v>
      </c>
      <c r="K68" s="81">
        <v>4841760</v>
      </c>
      <c r="L68" s="81" t="e">
        <v>#VALUE!</v>
      </c>
      <c r="M68" s="81" t="e">
        <v>#VALUE!</v>
      </c>
      <c r="N68" s="81" t="e">
        <v>#VALUE!</v>
      </c>
      <c r="O68" s="118"/>
      <c r="P68" s="81">
        <v>3715065.4187666327</v>
      </c>
      <c r="Q68" s="81">
        <v>3715065.4187666327</v>
      </c>
      <c r="R68" s="81" t="e">
        <v>#VALUE!</v>
      </c>
      <c r="S68" s="81" t="e">
        <v>#VALUE!</v>
      </c>
      <c r="T68" s="81" t="e">
        <v>#VALUE!</v>
      </c>
      <c r="V68" s="250" t="e">
        <f>#REF!/'Inversion formato'!$H68</f>
        <v>#REF!</v>
      </c>
      <c r="W68" s="250" t="e">
        <f>#REF!/'Inversion formato'!$H68</f>
        <v>#REF!</v>
      </c>
      <c r="X68" s="250" t="e">
        <f>#REF!/'Inversion formato'!$H68</f>
        <v>#REF!</v>
      </c>
      <c r="Y68" s="250" t="e">
        <f>#REF!/'Inversion formato'!$H68</f>
        <v>#REF!</v>
      </c>
      <c r="Z68" s="250" t="e">
        <f>#REF!/'Inversion formato'!$H68</f>
        <v>#REF!</v>
      </c>
      <c r="AA68" s="250" t="e">
        <f>#REF!/'Inversion formato'!$H68</f>
        <v>#REF!</v>
      </c>
      <c r="AB68" s="250" t="e">
        <f>#REF!/'Inversion formato'!$H68</f>
        <v>#REF!</v>
      </c>
      <c r="AC68" s="250" t="e">
        <f>#REF!/'Inversion formato'!$H68</f>
        <v>#REF!</v>
      </c>
      <c r="AD68" s="250" t="e">
        <f>#REF!/'Inversion formato'!$H68</f>
        <v>#REF!</v>
      </c>
      <c r="AE68" s="250" t="e">
        <f>#REF!/'Inversion formato'!$H68</f>
        <v>#REF!</v>
      </c>
      <c r="AF68" s="250" t="e">
        <f>#REF!/'Inversion formato'!$H68</f>
        <v>#REF!</v>
      </c>
      <c r="AG68" s="251" t="e">
        <f t="shared" si="3"/>
        <v>#REF!</v>
      </c>
    </row>
    <row r="69" spans="1:33" ht="18.75" customHeight="1" outlineLevel="1">
      <c r="A69" s="79" t="e">
        <f>#REF!</f>
        <v>#REF!</v>
      </c>
      <c r="B69" s="80" t="e">
        <f>#REF!</f>
        <v>#REF!</v>
      </c>
      <c r="C69" s="81">
        <f t="shared" si="7"/>
        <v>1850947.3854166665</v>
      </c>
      <c r="D69" s="117">
        <f t="shared" si="2"/>
        <v>0.76480741665587582</v>
      </c>
      <c r="E69" s="81">
        <f t="shared" si="8"/>
        <v>1415618.2882064683</v>
      </c>
      <c r="F69" s="94" t="e">
        <f>IF($H$67=0,0,H69/$H$67)</f>
        <v>#REF!</v>
      </c>
      <c r="G69" s="23"/>
      <c r="H69" s="81" t="e">
        <f>#REF!</f>
        <v>#REF!</v>
      </c>
      <c r="I69" s="23"/>
      <c r="J69" s="81">
        <v>1850947.3854166665</v>
      </c>
      <c r="K69" s="81">
        <v>1850947.3854166665</v>
      </c>
      <c r="L69" s="81" t="e">
        <v>#VALUE!</v>
      </c>
      <c r="M69" s="81" t="e">
        <v>#VALUE!</v>
      </c>
      <c r="N69" s="81" t="e">
        <v>#VALUE!</v>
      </c>
      <c r="O69" s="118"/>
      <c r="P69" s="81">
        <v>1415618.2882064683</v>
      </c>
      <c r="Q69" s="81">
        <v>1415618.2882064683</v>
      </c>
      <c r="R69" s="81" t="e">
        <v>#VALUE!</v>
      </c>
      <c r="S69" s="81" t="e">
        <v>#VALUE!</v>
      </c>
      <c r="T69" s="81" t="e">
        <v>#VALUE!</v>
      </c>
      <c r="V69" s="250" t="e">
        <f>#REF!/'Inversion formato'!$H69</f>
        <v>#REF!</v>
      </c>
      <c r="W69" s="250" t="e">
        <f>#REF!/'Inversion formato'!$H69</f>
        <v>#REF!</v>
      </c>
      <c r="X69" s="250" t="e">
        <f>#REF!/'Inversion formato'!$H69</f>
        <v>#REF!</v>
      </c>
      <c r="Y69" s="250" t="e">
        <f>#REF!/'Inversion formato'!$H69</f>
        <v>#REF!</v>
      </c>
      <c r="Z69" s="250" t="e">
        <f>#REF!/'Inversion formato'!$H69</f>
        <v>#REF!</v>
      </c>
      <c r="AA69" s="250" t="e">
        <f>#REF!/'Inversion formato'!$H69</f>
        <v>#REF!</v>
      </c>
      <c r="AB69" s="250" t="e">
        <f>#REF!/'Inversion formato'!$H69</f>
        <v>#REF!</v>
      </c>
      <c r="AC69" s="250" t="e">
        <f>#REF!/'Inversion formato'!$H69</f>
        <v>#REF!</v>
      </c>
      <c r="AD69" s="250" t="e">
        <f>#REF!/'Inversion formato'!$H69</f>
        <v>#REF!</v>
      </c>
      <c r="AE69" s="250" t="e">
        <f>#REF!/'Inversion formato'!$H69</f>
        <v>#REF!</v>
      </c>
      <c r="AF69" s="250" t="e">
        <f>#REF!/'Inversion formato'!$H69</f>
        <v>#REF!</v>
      </c>
      <c r="AG69" s="251" t="e">
        <f t="shared" si="3"/>
        <v>#REF!</v>
      </c>
    </row>
    <row r="70" spans="1:33" ht="18.75" customHeight="1" outlineLevel="1">
      <c r="A70" s="79" t="e">
        <f>#REF!</f>
        <v>#REF!</v>
      </c>
      <c r="B70" s="80" t="e">
        <f>#REF!</f>
        <v>#REF!</v>
      </c>
      <c r="C70" s="81">
        <f t="shared" si="7"/>
        <v>3356775.2085119048</v>
      </c>
      <c r="D70" s="117">
        <f t="shared" si="2"/>
        <v>0.76842209025077857</v>
      </c>
      <c r="E70" s="81">
        <f t="shared" si="8"/>
        <v>2579420.222226711</v>
      </c>
      <c r="F70" s="94" t="e">
        <f>IF($H$67=0,0,H70/$H$67)</f>
        <v>#REF!</v>
      </c>
      <c r="G70" s="23"/>
      <c r="H70" s="81" t="e">
        <f>#REF!</f>
        <v>#REF!</v>
      </c>
      <c r="I70" s="23"/>
      <c r="J70" s="81">
        <v>3356775.2085119048</v>
      </c>
      <c r="K70" s="81">
        <v>3356775.2085119048</v>
      </c>
      <c r="L70" s="81" t="e">
        <v>#VALUE!</v>
      </c>
      <c r="M70" s="81" t="e">
        <v>#VALUE!</v>
      </c>
      <c r="N70" s="81" t="e">
        <v>#VALUE!</v>
      </c>
      <c r="O70" s="118"/>
      <c r="P70" s="81">
        <v>2579420.222226711</v>
      </c>
      <c r="Q70" s="81">
        <v>2579420.222226711</v>
      </c>
      <c r="R70" s="81" t="e">
        <v>#VALUE!</v>
      </c>
      <c r="S70" s="81" t="e">
        <v>#VALUE!</v>
      </c>
      <c r="T70" s="81" t="e">
        <v>#VALUE!</v>
      </c>
      <c r="V70" s="250" t="e">
        <f>#REF!/'Inversion formato'!$H70</f>
        <v>#REF!</v>
      </c>
      <c r="W70" s="250" t="e">
        <f>#REF!/'Inversion formato'!$H70</f>
        <v>#REF!</v>
      </c>
      <c r="X70" s="250" t="e">
        <f>#REF!/'Inversion formato'!$H70</f>
        <v>#REF!</v>
      </c>
      <c r="Y70" s="250" t="e">
        <f>#REF!/'Inversion formato'!$H70</f>
        <v>#REF!</v>
      </c>
      <c r="Z70" s="250" t="e">
        <f>#REF!/'Inversion formato'!$H70</f>
        <v>#REF!</v>
      </c>
      <c r="AA70" s="250" t="e">
        <f>#REF!/'Inversion formato'!$H70</f>
        <v>#REF!</v>
      </c>
      <c r="AB70" s="250" t="e">
        <f>#REF!/'Inversion formato'!$H70</f>
        <v>#REF!</v>
      </c>
      <c r="AC70" s="250" t="e">
        <f>#REF!/'Inversion formato'!$H70</f>
        <v>#REF!</v>
      </c>
      <c r="AD70" s="250" t="e">
        <f>#REF!/'Inversion formato'!$H70</f>
        <v>#REF!</v>
      </c>
      <c r="AE70" s="250" t="e">
        <f>#REF!/'Inversion formato'!$H70</f>
        <v>#REF!</v>
      </c>
      <c r="AF70" s="250" t="e">
        <f>#REF!/'Inversion formato'!$H70</f>
        <v>#REF!</v>
      </c>
      <c r="AG70" s="251" t="e">
        <f t="shared" si="3"/>
        <v>#REF!</v>
      </c>
    </row>
    <row r="71" spans="1:33" ht="18.75" customHeight="1">
      <c r="A71" s="1103" t="e">
        <f>#REF!</f>
        <v>#REF!</v>
      </c>
      <c r="B71" s="1111" t="e">
        <f>#REF!</f>
        <v>#REF!</v>
      </c>
      <c r="C71" s="1105">
        <f t="shared" si="7"/>
        <v>4143079.6066666669</v>
      </c>
      <c r="D71" s="1106">
        <f t="shared" si="2"/>
        <v>0.77683389935035974</v>
      </c>
      <c r="E71" s="1105">
        <f t="shared" si="8"/>
        <v>3218484.6861658217</v>
      </c>
      <c r="F71" s="1107" t="e">
        <f>H71/$H$59</f>
        <v>#REF!</v>
      </c>
      <c r="G71" s="23"/>
      <c r="H71" s="1105" t="e">
        <f>SUM(H72:H75)</f>
        <v>#REF!</v>
      </c>
      <c r="I71" s="23"/>
      <c r="J71" s="81">
        <v>4143079.6066666669</v>
      </c>
      <c r="K71" s="81">
        <v>4143079.6066666669</v>
      </c>
      <c r="L71" s="81" t="e">
        <v>#VALUE!</v>
      </c>
      <c r="M71" s="81" t="e">
        <v>#VALUE!</v>
      </c>
      <c r="N71" s="81" t="e">
        <v>#VALUE!</v>
      </c>
      <c r="O71" s="118"/>
      <c r="P71" s="81">
        <v>3218484.6861658217</v>
      </c>
      <c r="Q71" s="81">
        <v>3218484.6861658217</v>
      </c>
      <c r="R71" s="81" t="e">
        <v>#VALUE!</v>
      </c>
      <c r="S71" s="81" t="e">
        <v>#VALUE!</v>
      </c>
      <c r="T71" s="81" t="e">
        <v>#VALUE!</v>
      </c>
      <c r="V71" s="250" t="e">
        <f>#REF!/'Inversion formato'!$H71</f>
        <v>#REF!</v>
      </c>
      <c r="W71" s="250" t="e">
        <f>#REF!/'Inversion formato'!$H71</f>
        <v>#REF!</v>
      </c>
      <c r="X71" s="250" t="e">
        <f>#REF!/'Inversion formato'!$H71</f>
        <v>#REF!</v>
      </c>
      <c r="Y71" s="250" t="e">
        <f>#REF!/'Inversion formato'!$H71</f>
        <v>#REF!</v>
      </c>
      <c r="Z71" s="250" t="e">
        <f>#REF!/'Inversion formato'!$H71</f>
        <v>#REF!</v>
      </c>
      <c r="AA71" s="250" t="e">
        <f>#REF!/'Inversion formato'!$H71</f>
        <v>#REF!</v>
      </c>
      <c r="AB71" s="250" t="e">
        <f>#REF!/'Inversion formato'!$H71</f>
        <v>#REF!</v>
      </c>
      <c r="AC71" s="250" t="e">
        <f>#REF!/'Inversion formato'!$H71</f>
        <v>#REF!</v>
      </c>
      <c r="AD71" s="250" t="e">
        <f>#REF!/'Inversion formato'!$H71</f>
        <v>#REF!</v>
      </c>
      <c r="AE71" s="250" t="e">
        <f>#REF!/'Inversion formato'!$H71</f>
        <v>#REF!</v>
      </c>
      <c r="AF71" s="250" t="e">
        <f>#REF!/'Inversion formato'!$H71</f>
        <v>#REF!</v>
      </c>
      <c r="AG71" s="251" t="e">
        <f t="shared" si="3"/>
        <v>#REF!</v>
      </c>
    </row>
    <row r="72" spans="1:33" ht="18.75" customHeight="1" outlineLevel="1">
      <c r="A72" s="79" t="e">
        <f>#REF!</f>
        <v>#REF!</v>
      </c>
      <c r="B72" s="80" t="e">
        <f>#REF!</f>
        <v>#REF!</v>
      </c>
      <c r="C72" s="81">
        <f t="shared" si="7"/>
        <v>460401.97666666668</v>
      </c>
      <c r="D72" s="117">
        <f t="shared" si="2"/>
        <v>0.77081785990037854</v>
      </c>
      <c r="E72" s="81">
        <f t="shared" si="8"/>
        <v>354886.06634810404</v>
      </c>
      <c r="F72" s="94" t="e">
        <f>IF($H$71=0,0,H72/$H$71)</f>
        <v>#REF!</v>
      </c>
      <c r="G72" s="23"/>
      <c r="H72" s="81" t="e">
        <f>#REF!</f>
        <v>#REF!</v>
      </c>
      <c r="I72" s="23"/>
      <c r="J72" s="81">
        <v>460401.97666666668</v>
      </c>
      <c r="K72" s="81">
        <v>460401.97666666668</v>
      </c>
      <c r="L72" s="81" t="e">
        <v>#VALUE!</v>
      </c>
      <c r="M72" s="81" t="e">
        <v>#VALUE!</v>
      </c>
      <c r="N72" s="81" t="e">
        <v>#VALUE!</v>
      </c>
      <c r="O72" s="118"/>
      <c r="P72" s="81">
        <v>354886.06634810404</v>
      </c>
      <c r="Q72" s="81">
        <v>354886.06634810404</v>
      </c>
      <c r="R72" s="81" t="e">
        <v>#VALUE!</v>
      </c>
      <c r="S72" s="81" t="e">
        <v>#VALUE!</v>
      </c>
      <c r="T72" s="81" t="e">
        <v>#VALUE!</v>
      </c>
      <c r="V72" s="250" t="e">
        <f>#REF!/'Inversion formato'!$H72</f>
        <v>#REF!</v>
      </c>
      <c r="W72" s="250" t="e">
        <f>#REF!/'Inversion formato'!$H72</f>
        <v>#REF!</v>
      </c>
      <c r="X72" s="250" t="e">
        <f>#REF!/'Inversion formato'!$H72</f>
        <v>#REF!</v>
      </c>
      <c r="Y72" s="250" t="e">
        <f>#REF!/'Inversion formato'!$H72</f>
        <v>#REF!</v>
      </c>
      <c r="Z72" s="250" t="e">
        <f>#REF!/'Inversion formato'!$H72</f>
        <v>#REF!</v>
      </c>
      <c r="AA72" s="250" t="e">
        <f>#REF!/'Inversion formato'!$H72</f>
        <v>#REF!</v>
      </c>
      <c r="AB72" s="250" t="e">
        <f>#REF!/'Inversion formato'!$H72</f>
        <v>#REF!</v>
      </c>
      <c r="AC72" s="250" t="e">
        <f>#REF!/'Inversion formato'!$H72</f>
        <v>#REF!</v>
      </c>
      <c r="AD72" s="250" t="e">
        <f>#REF!/'Inversion formato'!$H72</f>
        <v>#REF!</v>
      </c>
      <c r="AE72" s="250" t="e">
        <f>#REF!/'Inversion formato'!$H72</f>
        <v>#REF!</v>
      </c>
      <c r="AF72" s="250" t="e">
        <f>#REF!/'Inversion formato'!$H72</f>
        <v>#REF!</v>
      </c>
      <c r="AG72" s="251" t="e">
        <f t="shared" si="3"/>
        <v>#REF!</v>
      </c>
    </row>
    <row r="73" spans="1:33" ht="25.5" customHeight="1" outlineLevel="1">
      <c r="A73" s="79" t="e">
        <f>#REF!</f>
        <v>#REF!</v>
      </c>
      <c r="B73" s="80" t="e">
        <f>#REF!</f>
        <v>#REF!</v>
      </c>
      <c r="C73" s="81">
        <f t="shared" si="7"/>
        <v>2200584.9500000002</v>
      </c>
      <c r="D73" s="117">
        <f t="shared" si="2"/>
        <v>0.76635390959816718</v>
      </c>
      <c r="E73" s="81">
        <f t="shared" si="8"/>
        <v>1686426.8798353875</v>
      </c>
      <c r="F73" s="94" t="e">
        <f>IF($H$71=0,0,H73/$H$71)</f>
        <v>#REF!</v>
      </c>
      <c r="G73" s="23"/>
      <c r="H73" s="81" t="e">
        <f>#REF!</f>
        <v>#REF!</v>
      </c>
      <c r="I73" s="23"/>
      <c r="J73" s="81">
        <v>2200584.9500000002</v>
      </c>
      <c r="K73" s="81">
        <v>2200584.9500000002</v>
      </c>
      <c r="L73" s="81" t="e">
        <v>#VALUE!</v>
      </c>
      <c r="M73" s="81" t="e">
        <v>#VALUE!</v>
      </c>
      <c r="N73" s="81" t="e">
        <v>#VALUE!</v>
      </c>
      <c r="O73" s="118"/>
      <c r="P73" s="81">
        <v>1686426.8798353875</v>
      </c>
      <c r="Q73" s="81">
        <v>1686426.8798353875</v>
      </c>
      <c r="R73" s="81" t="e">
        <v>#VALUE!</v>
      </c>
      <c r="S73" s="81" t="e">
        <v>#VALUE!</v>
      </c>
      <c r="T73" s="81" t="e">
        <v>#VALUE!</v>
      </c>
      <c r="V73" s="250" t="e">
        <f>#REF!/'Inversion formato'!$H73</f>
        <v>#REF!</v>
      </c>
      <c r="W73" s="250" t="e">
        <f>#REF!/'Inversion formato'!$H73</f>
        <v>#REF!</v>
      </c>
      <c r="X73" s="250" t="e">
        <f>#REF!/'Inversion formato'!$H73</f>
        <v>#REF!</v>
      </c>
      <c r="Y73" s="250" t="e">
        <f>#REF!/'Inversion formato'!$H73</f>
        <v>#REF!</v>
      </c>
      <c r="Z73" s="250" t="e">
        <f>#REF!/'Inversion formato'!$H73</f>
        <v>#REF!</v>
      </c>
      <c r="AA73" s="250" t="e">
        <f>#REF!/'Inversion formato'!$H73</f>
        <v>#REF!</v>
      </c>
      <c r="AB73" s="250" t="e">
        <f>#REF!/'Inversion formato'!$H73</f>
        <v>#REF!</v>
      </c>
      <c r="AC73" s="250" t="e">
        <f>#REF!/'Inversion formato'!$H73</f>
        <v>#REF!</v>
      </c>
      <c r="AD73" s="250" t="e">
        <f>#REF!/'Inversion formato'!$H73</f>
        <v>#REF!</v>
      </c>
      <c r="AE73" s="250" t="e">
        <f>#REF!/'Inversion formato'!$H73</f>
        <v>#REF!</v>
      </c>
      <c r="AF73" s="250" t="e">
        <f>#REF!/'Inversion formato'!$H73</f>
        <v>#REF!</v>
      </c>
      <c r="AG73" s="251" t="e">
        <f t="shared" ref="AG73:AG84" si="9">SUM(V73:AF73)</f>
        <v>#REF!</v>
      </c>
    </row>
    <row r="74" spans="1:33" ht="25.5" customHeight="1" outlineLevel="1">
      <c r="A74" s="79" t="e">
        <f>#REF!</f>
        <v>#REF!</v>
      </c>
      <c r="B74" s="80" t="e">
        <f>#REF!</f>
        <v>#REF!</v>
      </c>
      <c r="C74" s="81">
        <f t="shared" si="7"/>
        <v>940372.68</v>
      </c>
      <c r="D74" s="117">
        <f t="shared" si="2"/>
        <v>0.76361958348217684</v>
      </c>
      <c r="E74" s="81">
        <f t="shared" si="8"/>
        <v>718086.99421961838</v>
      </c>
      <c r="F74" s="94" t="e">
        <f>IF($H$71=0,0,H74/$H$71)</f>
        <v>#REF!</v>
      </c>
      <c r="G74" s="23"/>
      <c r="H74" s="81" t="e">
        <f>#REF!</f>
        <v>#REF!</v>
      </c>
      <c r="I74" s="23"/>
      <c r="J74" s="81">
        <v>940372.68</v>
      </c>
      <c r="K74" s="81">
        <v>940372.68</v>
      </c>
      <c r="L74" s="81" t="e">
        <v>#VALUE!</v>
      </c>
      <c r="M74" s="81" t="e">
        <v>#VALUE!</v>
      </c>
      <c r="N74" s="81" t="e">
        <v>#VALUE!</v>
      </c>
      <c r="O74" s="118"/>
      <c r="P74" s="81">
        <v>718086.99421961838</v>
      </c>
      <c r="Q74" s="81">
        <v>718086.99421961838</v>
      </c>
      <c r="R74" s="81" t="e">
        <v>#VALUE!</v>
      </c>
      <c r="S74" s="81" t="e">
        <v>#VALUE!</v>
      </c>
      <c r="T74" s="81" t="e">
        <v>#VALUE!</v>
      </c>
      <c r="V74" s="250" t="e">
        <f>#REF!/'Inversion formato'!$H74</f>
        <v>#REF!</v>
      </c>
      <c r="W74" s="250" t="e">
        <f>#REF!/'Inversion formato'!$H74</f>
        <v>#REF!</v>
      </c>
      <c r="X74" s="250" t="e">
        <f>#REF!/'Inversion formato'!$H74</f>
        <v>#REF!</v>
      </c>
      <c r="Y74" s="250" t="e">
        <f>#REF!/'Inversion formato'!$H74</f>
        <v>#REF!</v>
      </c>
      <c r="Z74" s="250" t="e">
        <f>#REF!/'Inversion formato'!$H74</f>
        <v>#REF!</v>
      </c>
      <c r="AA74" s="250" t="e">
        <f>#REF!/'Inversion formato'!$H74</f>
        <v>#REF!</v>
      </c>
      <c r="AB74" s="250" t="e">
        <f>#REF!/'Inversion formato'!$H74</f>
        <v>#REF!</v>
      </c>
      <c r="AC74" s="250" t="e">
        <f>#REF!/'Inversion formato'!$H74</f>
        <v>#REF!</v>
      </c>
      <c r="AD74" s="250" t="e">
        <f>#REF!/'Inversion formato'!$H74</f>
        <v>#REF!</v>
      </c>
      <c r="AE74" s="250" t="e">
        <f>#REF!/'Inversion formato'!$H74</f>
        <v>#REF!</v>
      </c>
      <c r="AF74" s="250" t="e">
        <f>#REF!/'Inversion formato'!$H74</f>
        <v>#REF!</v>
      </c>
      <c r="AG74" s="251" t="e">
        <f t="shared" si="9"/>
        <v>#REF!</v>
      </c>
    </row>
    <row r="75" spans="1:33" ht="25.5" customHeight="1" outlineLevel="1">
      <c r="A75" s="79" t="e">
        <f>#REF!</f>
        <v>#REF!</v>
      </c>
      <c r="B75" s="80" t="e">
        <f>#REF!</f>
        <v>#REF!</v>
      </c>
      <c r="C75" s="81">
        <f t="shared" si="7"/>
        <v>541720</v>
      </c>
      <c r="D75" s="117">
        <f t="shared" si="2"/>
        <v>0.84745762711864403</v>
      </c>
      <c r="E75" s="81">
        <f t="shared" si="8"/>
        <v>459084.74576271186</v>
      </c>
      <c r="F75" s="94" t="e">
        <f>IF($H$71=0,0,H75/$H$71)</f>
        <v>#REF!</v>
      </c>
      <c r="G75" s="23"/>
      <c r="H75" s="81" t="e">
        <f>#REF!</f>
        <v>#REF!</v>
      </c>
      <c r="I75" s="23"/>
      <c r="J75" s="81">
        <v>541720</v>
      </c>
      <c r="K75" s="81">
        <v>541720</v>
      </c>
      <c r="L75" s="81" t="e">
        <v>#VALUE!</v>
      </c>
      <c r="M75" s="81" t="e">
        <v>#VALUE!</v>
      </c>
      <c r="N75" s="81" t="e">
        <v>#VALUE!</v>
      </c>
      <c r="O75" s="118"/>
      <c r="P75" s="81">
        <v>459084.74576271186</v>
      </c>
      <c r="Q75" s="81">
        <v>459084.74576271186</v>
      </c>
      <c r="R75" s="81" t="e">
        <v>#VALUE!</v>
      </c>
      <c r="S75" s="81" t="e">
        <v>#VALUE!</v>
      </c>
      <c r="T75" s="81" t="e">
        <v>#VALUE!</v>
      </c>
      <c r="V75" s="250" t="e">
        <f>#REF!/'Inversion formato'!$H75</f>
        <v>#REF!</v>
      </c>
      <c r="W75" s="250" t="e">
        <f>#REF!/'Inversion formato'!$H75</f>
        <v>#REF!</v>
      </c>
      <c r="X75" s="250" t="e">
        <f>#REF!/'Inversion formato'!$H75</f>
        <v>#REF!</v>
      </c>
      <c r="Y75" s="250" t="e">
        <f>#REF!/'Inversion formato'!$H75</f>
        <v>#REF!</v>
      </c>
      <c r="Z75" s="250" t="e">
        <f>#REF!/'Inversion formato'!$H75</f>
        <v>#REF!</v>
      </c>
      <c r="AA75" s="250" t="e">
        <f>#REF!/'Inversion formato'!$H75</f>
        <v>#REF!</v>
      </c>
      <c r="AB75" s="250" t="e">
        <f>#REF!/'Inversion formato'!$H75</f>
        <v>#REF!</v>
      </c>
      <c r="AC75" s="250" t="e">
        <f>#REF!/'Inversion formato'!$H75</f>
        <v>#REF!</v>
      </c>
      <c r="AD75" s="250" t="e">
        <f>#REF!/'Inversion formato'!$H75</f>
        <v>#REF!</v>
      </c>
      <c r="AE75" s="250" t="e">
        <f>#REF!/'Inversion formato'!$H75</f>
        <v>#REF!</v>
      </c>
      <c r="AF75" s="250" t="e">
        <f>#REF!/'Inversion formato'!$H75</f>
        <v>#REF!</v>
      </c>
      <c r="AG75" s="251" t="e">
        <f t="shared" si="9"/>
        <v>#REF!</v>
      </c>
    </row>
    <row r="76" spans="1:33" ht="25.5" customHeight="1">
      <c r="A76" s="1103" t="e">
        <f>#REF!</f>
        <v>#REF!</v>
      </c>
      <c r="B76" s="1111" t="e">
        <f>#REF!</f>
        <v>#REF!</v>
      </c>
      <c r="C76" s="1105">
        <f>CHOOSE(Muestra_Alt,J76,K76,L76,M76,N76)</f>
        <v>3516888.2495833337</v>
      </c>
      <c r="D76" s="1106">
        <f>IF(C76=0,"n/d",E76/C76)</f>
        <v>0.76556398996809383</v>
      </c>
      <c r="E76" s="1105">
        <f>CHOOSE(Muestra_Alt,P76,Q76,R76,S76,T76)</f>
        <v>2692403.0006229226</v>
      </c>
      <c r="F76" s="1107" t="e">
        <f>H76/$H$59</f>
        <v>#REF!</v>
      </c>
      <c r="G76" s="23"/>
      <c r="H76" s="1105" t="e">
        <f>SUM(H77:H80)</f>
        <v>#REF!</v>
      </c>
      <c r="I76" s="23"/>
      <c r="J76" s="81">
        <v>3516888.2495833337</v>
      </c>
      <c r="K76" s="81">
        <v>3516888.2495833337</v>
      </c>
      <c r="L76" s="81" t="e">
        <v>#VALUE!</v>
      </c>
      <c r="M76" s="81" t="e">
        <v>#VALUE!</v>
      </c>
      <c r="N76" s="81" t="e">
        <v>#VALUE!</v>
      </c>
      <c r="O76" s="118"/>
      <c r="P76" s="81">
        <v>2692403.0006229226</v>
      </c>
      <c r="Q76" s="81">
        <v>2692403.0006229226</v>
      </c>
      <c r="R76" s="81" t="e">
        <v>#VALUE!</v>
      </c>
      <c r="S76" s="81" t="e">
        <v>#VALUE!</v>
      </c>
      <c r="T76" s="81" t="e">
        <v>#VALUE!</v>
      </c>
      <c r="V76" s="250" t="e">
        <f>#REF!/'Inversion formato'!$H76</f>
        <v>#REF!</v>
      </c>
      <c r="W76" s="250" t="e">
        <f>#REF!/'Inversion formato'!$H76</f>
        <v>#REF!</v>
      </c>
      <c r="X76" s="250" t="e">
        <f>#REF!/'Inversion formato'!$H76</f>
        <v>#REF!</v>
      </c>
      <c r="Y76" s="250" t="e">
        <f>#REF!/'Inversion formato'!$H76</f>
        <v>#REF!</v>
      </c>
      <c r="Z76" s="250" t="e">
        <f>#REF!/'Inversion formato'!$H76</f>
        <v>#REF!</v>
      </c>
      <c r="AA76" s="250" t="e">
        <f>#REF!/'Inversion formato'!$H76</f>
        <v>#REF!</v>
      </c>
      <c r="AB76" s="250" t="e">
        <f>#REF!/'Inversion formato'!$H76</f>
        <v>#REF!</v>
      </c>
      <c r="AC76" s="250" t="e">
        <f>#REF!/'Inversion formato'!$H76</f>
        <v>#REF!</v>
      </c>
      <c r="AD76" s="250" t="e">
        <f>#REF!/'Inversion formato'!$H76</f>
        <v>#REF!</v>
      </c>
      <c r="AE76" s="250" t="e">
        <f>#REF!/'Inversion formato'!$H76</f>
        <v>#REF!</v>
      </c>
      <c r="AF76" s="250" t="e">
        <f>#REF!/'Inversion formato'!$H76</f>
        <v>#REF!</v>
      </c>
      <c r="AG76" s="251" t="e">
        <f t="shared" si="9"/>
        <v>#REF!</v>
      </c>
    </row>
    <row r="77" spans="1:33" ht="25.5" customHeight="1" outlineLevel="1">
      <c r="A77" s="79" t="e">
        <f>#REF!</f>
        <v>#REF!</v>
      </c>
      <c r="B77" s="80" t="e">
        <f>#REF!</f>
        <v>#REF!</v>
      </c>
      <c r="C77" s="81">
        <f>CHOOSE(Muestra_Alt,J77,K77,L77,M77,N77)</f>
        <v>527081.84687500005</v>
      </c>
      <c r="D77" s="117">
        <f>IF(C77=0,"n/d",E77/C77)</f>
        <v>0.76370188858232302</v>
      </c>
      <c r="E77" s="81">
        <f>CHOOSE(Muestra_Alt,P77,Q77,R77,S77,T77)</f>
        <v>402533.4018958963</v>
      </c>
      <c r="F77" s="94" t="e">
        <f>IF($H$76=0,0,H77/$H$76)</f>
        <v>#REF!</v>
      </c>
      <c r="G77" s="23"/>
      <c r="H77" s="81" t="e">
        <f>#REF!</f>
        <v>#REF!</v>
      </c>
      <c r="I77" s="23"/>
      <c r="J77" s="81">
        <v>527081.84687500005</v>
      </c>
      <c r="K77" s="81">
        <v>527081.84687500005</v>
      </c>
      <c r="L77" s="81" t="e">
        <v>#VALUE!</v>
      </c>
      <c r="M77" s="81" t="e">
        <v>#VALUE!</v>
      </c>
      <c r="N77" s="81" t="e">
        <v>#VALUE!</v>
      </c>
      <c r="O77" s="118"/>
      <c r="P77" s="81">
        <v>402533.4018958963</v>
      </c>
      <c r="Q77" s="81">
        <v>402533.4018958963</v>
      </c>
      <c r="R77" s="81" t="e">
        <v>#VALUE!</v>
      </c>
      <c r="S77" s="81" t="e">
        <v>#VALUE!</v>
      </c>
      <c r="T77" s="81" t="e">
        <v>#VALUE!</v>
      </c>
      <c r="V77" s="250" t="e">
        <f>#REF!/'Inversion formato'!$H77</f>
        <v>#REF!</v>
      </c>
      <c r="W77" s="250" t="e">
        <f>#REF!/'Inversion formato'!$H77</f>
        <v>#REF!</v>
      </c>
      <c r="X77" s="250" t="e">
        <f>#REF!/'Inversion formato'!$H77</f>
        <v>#REF!</v>
      </c>
      <c r="Y77" s="250" t="e">
        <f>#REF!/'Inversion formato'!$H77</f>
        <v>#REF!</v>
      </c>
      <c r="Z77" s="250" t="e">
        <f>#REF!/'Inversion formato'!$H77</f>
        <v>#REF!</v>
      </c>
      <c r="AA77" s="250" t="e">
        <f>#REF!/'Inversion formato'!$H77</f>
        <v>#REF!</v>
      </c>
      <c r="AB77" s="250" t="e">
        <f>#REF!/'Inversion formato'!$H77</f>
        <v>#REF!</v>
      </c>
      <c r="AC77" s="250" t="e">
        <f>#REF!/'Inversion formato'!$H77</f>
        <v>#REF!</v>
      </c>
      <c r="AD77" s="250" t="e">
        <f>#REF!/'Inversion formato'!$H77</f>
        <v>#REF!</v>
      </c>
      <c r="AE77" s="250" t="e">
        <f>#REF!/'Inversion formato'!$H77</f>
        <v>#REF!</v>
      </c>
      <c r="AF77" s="250" t="e">
        <f>#REF!/'Inversion formato'!$H77</f>
        <v>#REF!</v>
      </c>
      <c r="AG77" s="251" t="e">
        <f t="shared" si="9"/>
        <v>#REF!</v>
      </c>
    </row>
    <row r="78" spans="1:33" ht="25.5" customHeight="1" outlineLevel="1">
      <c r="A78" s="79" t="e">
        <f>#REF!</f>
        <v>#REF!</v>
      </c>
      <c r="B78" s="80" t="e">
        <f>#REF!</f>
        <v>#REF!</v>
      </c>
      <c r="C78" s="81">
        <f>CHOOSE(Muestra_Alt,J78,K78,L78,M78,N78)</f>
        <v>375723.70781250001</v>
      </c>
      <c r="D78" s="117">
        <f>IF(C78=0,"n/d",E78/C78)</f>
        <v>0.76412354091429135</v>
      </c>
      <c r="E78" s="81">
        <f>CHOOSE(Muestra_Alt,P78,Q78,R78,S78,T78)</f>
        <v>287099.3300191341</v>
      </c>
      <c r="F78" s="94" t="e">
        <f>IF($H$76=0,0,H78/$H$76)</f>
        <v>#REF!</v>
      </c>
      <c r="G78" s="23"/>
      <c r="H78" s="81" t="e">
        <f>#REF!</f>
        <v>#REF!</v>
      </c>
      <c r="I78" s="23"/>
      <c r="J78" s="81">
        <v>375723.70781250001</v>
      </c>
      <c r="K78" s="81">
        <v>375723.70781250001</v>
      </c>
      <c r="L78" s="81" t="e">
        <v>#VALUE!</v>
      </c>
      <c r="M78" s="81" t="e">
        <v>#VALUE!</v>
      </c>
      <c r="N78" s="81" t="e">
        <v>#VALUE!</v>
      </c>
      <c r="O78" s="118"/>
      <c r="P78" s="81">
        <v>287099.3300191341</v>
      </c>
      <c r="Q78" s="81">
        <v>287099.3300191341</v>
      </c>
      <c r="R78" s="81" t="e">
        <v>#VALUE!</v>
      </c>
      <c r="S78" s="81" t="e">
        <v>#VALUE!</v>
      </c>
      <c r="T78" s="81" t="e">
        <v>#VALUE!</v>
      </c>
      <c r="V78" s="250" t="e">
        <f>#REF!/'Inversion formato'!$H78</f>
        <v>#REF!</v>
      </c>
      <c r="W78" s="250" t="e">
        <f>#REF!/'Inversion formato'!$H78</f>
        <v>#REF!</v>
      </c>
      <c r="X78" s="250" t="e">
        <f>#REF!/'Inversion formato'!$H78</f>
        <v>#REF!</v>
      </c>
      <c r="Y78" s="250" t="e">
        <f>#REF!/'Inversion formato'!$H78</f>
        <v>#REF!</v>
      </c>
      <c r="Z78" s="250" t="e">
        <f>#REF!/'Inversion formato'!$H78</f>
        <v>#REF!</v>
      </c>
      <c r="AA78" s="250" t="e">
        <f>#REF!/'Inversion formato'!$H78</f>
        <v>#REF!</v>
      </c>
      <c r="AB78" s="250" t="e">
        <f>#REF!/'Inversion formato'!$H78</f>
        <v>#REF!</v>
      </c>
      <c r="AC78" s="250" t="e">
        <f>#REF!/'Inversion formato'!$H78</f>
        <v>#REF!</v>
      </c>
      <c r="AD78" s="250" t="e">
        <f>#REF!/'Inversion formato'!$H78</f>
        <v>#REF!</v>
      </c>
      <c r="AE78" s="250" t="e">
        <f>#REF!/'Inversion formato'!$H78</f>
        <v>#REF!</v>
      </c>
      <c r="AF78" s="250" t="e">
        <f>#REF!/'Inversion formato'!$H78</f>
        <v>#REF!</v>
      </c>
      <c r="AG78" s="251" t="e">
        <f t="shared" si="9"/>
        <v>#REF!</v>
      </c>
    </row>
    <row r="79" spans="1:33" ht="25.5" customHeight="1" outlineLevel="1">
      <c r="A79" s="79" t="e">
        <f>#REF!</f>
        <v>#REF!</v>
      </c>
      <c r="B79" s="80" t="e">
        <f>#REF!</f>
        <v>#REF!</v>
      </c>
      <c r="C79" s="81">
        <f>CHOOSE(Muestra_Alt,J79,K79,L79,M79,N79)</f>
        <v>1224876.875</v>
      </c>
      <c r="D79" s="117">
        <f>IF(C79=0,"n/d",E79/C79)</f>
        <v>0.76833292303801148</v>
      </c>
      <c r="E79" s="81">
        <f>CHOOSE(Muestra_Alt,P79,Q79,R79,S79,T79)</f>
        <v>941113.22973041504</v>
      </c>
      <c r="F79" s="94" t="e">
        <f>IF($H$76=0,0,H79/$H$76)</f>
        <v>#REF!</v>
      </c>
      <c r="G79" s="23"/>
      <c r="H79" s="81" t="e">
        <f>#REF!</f>
        <v>#REF!</v>
      </c>
      <c r="I79" s="23"/>
      <c r="J79" s="81">
        <v>1224876.875</v>
      </c>
      <c r="K79" s="81">
        <v>1224876.875</v>
      </c>
      <c r="L79" s="81" t="e">
        <v>#VALUE!</v>
      </c>
      <c r="M79" s="81" t="e">
        <v>#VALUE!</v>
      </c>
      <c r="N79" s="81" t="e">
        <v>#VALUE!</v>
      </c>
      <c r="O79" s="118"/>
      <c r="P79" s="81">
        <v>941113.22973041504</v>
      </c>
      <c r="Q79" s="81">
        <v>941113.22973041504</v>
      </c>
      <c r="R79" s="81" t="e">
        <v>#VALUE!</v>
      </c>
      <c r="S79" s="81" t="e">
        <v>#VALUE!</v>
      </c>
      <c r="T79" s="81" t="e">
        <v>#VALUE!</v>
      </c>
      <c r="V79" s="250" t="e">
        <f>#REF!/'Inversion formato'!$H79</f>
        <v>#REF!</v>
      </c>
      <c r="W79" s="250" t="e">
        <f>#REF!/'Inversion formato'!$H79</f>
        <v>#REF!</v>
      </c>
      <c r="X79" s="250" t="e">
        <f>#REF!/'Inversion formato'!$H79</f>
        <v>#REF!</v>
      </c>
      <c r="Y79" s="250" t="e">
        <f>#REF!/'Inversion formato'!$H79</f>
        <v>#REF!</v>
      </c>
      <c r="Z79" s="250" t="e">
        <f>#REF!/'Inversion formato'!$H79</f>
        <v>#REF!</v>
      </c>
      <c r="AA79" s="250" t="e">
        <f>#REF!/'Inversion formato'!$H79</f>
        <v>#REF!</v>
      </c>
      <c r="AB79" s="250" t="e">
        <f>#REF!/'Inversion formato'!$H79</f>
        <v>#REF!</v>
      </c>
      <c r="AC79" s="250" t="e">
        <f>#REF!/'Inversion formato'!$H79</f>
        <v>#REF!</v>
      </c>
      <c r="AD79" s="250" t="e">
        <f>#REF!/'Inversion formato'!$H79</f>
        <v>#REF!</v>
      </c>
      <c r="AE79" s="250" t="e">
        <f>#REF!/'Inversion formato'!$H79</f>
        <v>#REF!</v>
      </c>
      <c r="AF79" s="250" t="e">
        <f>#REF!/'Inversion formato'!$H79</f>
        <v>#REF!</v>
      </c>
      <c r="AG79" s="251" t="e">
        <f t="shared" si="9"/>
        <v>#REF!</v>
      </c>
    </row>
    <row r="80" spans="1:33" ht="25.5" customHeight="1" outlineLevel="1">
      <c r="A80" s="79" t="e">
        <f>#REF!</f>
        <v>#REF!</v>
      </c>
      <c r="B80" s="80" t="e">
        <f>#REF!</f>
        <v>#REF!</v>
      </c>
      <c r="C80" s="81">
        <f>CHOOSE(Muestra_Alt,J80,K80,L80,M80,N80)</f>
        <v>1389205.8198958335</v>
      </c>
      <c r="D80" s="117">
        <f>IF(C80=0,"n/d",E80/C80)</f>
        <v>0.76421868075465105</v>
      </c>
      <c r="E80" s="81">
        <f>CHOOSE(Muestra_Alt,P80,Q80,R80,S80,T80)</f>
        <v>1061657.0389774772</v>
      </c>
      <c r="F80" s="94" t="e">
        <f>IF($H$76=0,0,H80/$H$76)</f>
        <v>#REF!</v>
      </c>
      <c r="G80" s="23"/>
      <c r="H80" s="81" t="e">
        <f>#REF!</f>
        <v>#REF!</v>
      </c>
      <c r="I80" s="23"/>
      <c r="J80" s="81">
        <v>1389205.8198958335</v>
      </c>
      <c r="K80" s="81">
        <v>1389205.8198958335</v>
      </c>
      <c r="L80" s="81" t="e">
        <v>#VALUE!</v>
      </c>
      <c r="M80" s="81" t="e">
        <v>#VALUE!</v>
      </c>
      <c r="N80" s="81" t="e">
        <v>#VALUE!</v>
      </c>
      <c r="O80" s="118"/>
      <c r="P80" s="81">
        <v>1061657.0389774772</v>
      </c>
      <c r="Q80" s="81">
        <v>1061657.0389774772</v>
      </c>
      <c r="R80" s="81" t="e">
        <v>#VALUE!</v>
      </c>
      <c r="S80" s="81" t="e">
        <v>#VALUE!</v>
      </c>
      <c r="T80" s="81" t="e">
        <v>#VALUE!</v>
      </c>
      <c r="V80" s="250" t="e">
        <f>#REF!/'Inversion formato'!$H80</f>
        <v>#REF!</v>
      </c>
      <c r="W80" s="250" t="e">
        <f>#REF!/'Inversion formato'!$H80</f>
        <v>#REF!</v>
      </c>
      <c r="X80" s="250" t="e">
        <f>#REF!/'Inversion formato'!$H80</f>
        <v>#REF!</v>
      </c>
      <c r="Y80" s="250" t="e">
        <f>#REF!/'Inversion formato'!$H80</f>
        <v>#REF!</v>
      </c>
      <c r="Z80" s="250" t="e">
        <f>#REF!/'Inversion formato'!$H80</f>
        <v>#REF!</v>
      </c>
      <c r="AA80" s="250" t="e">
        <f>#REF!/'Inversion formato'!$H80</f>
        <v>#REF!</v>
      </c>
      <c r="AB80" s="250" t="e">
        <f>#REF!/'Inversion formato'!$H80</f>
        <v>#REF!</v>
      </c>
      <c r="AC80" s="250" t="e">
        <f>#REF!/'Inversion formato'!$H80</f>
        <v>#REF!</v>
      </c>
      <c r="AD80" s="250" t="e">
        <f>#REF!/'Inversion formato'!$H80</f>
        <v>#REF!</v>
      </c>
      <c r="AE80" s="250" t="e">
        <f>#REF!/'Inversion formato'!$H80</f>
        <v>#REF!</v>
      </c>
      <c r="AF80" s="250" t="e">
        <f>#REF!/'Inversion formato'!$H80</f>
        <v>#REF!</v>
      </c>
      <c r="AG80" s="251" t="e">
        <f t="shared" si="9"/>
        <v>#REF!</v>
      </c>
    </row>
    <row r="81" spans="1:33" ht="25.5" customHeight="1">
      <c r="A81" s="1080" t="e">
        <f>#REF!</f>
        <v>#REF!</v>
      </c>
      <c r="B81" s="1098" t="e">
        <f>#REF!</f>
        <v>#REF!</v>
      </c>
      <c r="C81" s="1099">
        <f t="shared" si="7"/>
        <v>13934700</v>
      </c>
      <c r="D81" s="1100">
        <f t="shared" si="2"/>
        <v>0.84745762711864403</v>
      </c>
      <c r="E81" s="1099">
        <f t="shared" si="8"/>
        <v>11809067.796610169</v>
      </c>
      <c r="F81" s="1101" t="e">
        <f>H81/$H$84</f>
        <v>#REF!</v>
      </c>
      <c r="G81" s="23"/>
      <c r="H81" s="1099" t="e">
        <f>#REF!</f>
        <v>#REF!</v>
      </c>
      <c r="I81" s="23"/>
      <c r="J81" s="1099">
        <v>13934700</v>
      </c>
      <c r="K81" s="1099">
        <v>13934700</v>
      </c>
      <c r="L81" s="1099" t="e">
        <v>#VALUE!</v>
      </c>
      <c r="M81" s="1099" t="e">
        <v>#VALUE!</v>
      </c>
      <c r="N81" s="1099" t="e">
        <v>#VALUE!</v>
      </c>
      <c r="O81" s="118"/>
      <c r="P81" s="1099">
        <v>11809067.796610169</v>
      </c>
      <c r="Q81" s="1099">
        <v>11809067.796610169</v>
      </c>
      <c r="R81" s="1099" t="e">
        <v>#VALUE!</v>
      </c>
      <c r="S81" s="1099" t="e">
        <v>#VALUE!</v>
      </c>
      <c r="T81" s="1099" t="e">
        <v>#VALUE!</v>
      </c>
      <c r="V81" s="1102" t="e">
        <f>#REF!/'Inversion formato'!$H81</f>
        <v>#REF!</v>
      </c>
      <c r="W81" s="1102" t="e">
        <f>#REF!/'Inversion formato'!$H81</f>
        <v>#REF!</v>
      </c>
      <c r="X81" s="1102" t="e">
        <f>#REF!/'Inversion formato'!$H81</f>
        <v>#REF!</v>
      </c>
      <c r="Y81" s="1102" t="e">
        <f>#REF!/'Inversion formato'!$H81</f>
        <v>#REF!</v>
      </c>
      <c r="Z81" s="1102" t="e">
        <f>#REF!/'Inversion formato'!$H81</f>
        <v>#REF!</v>
      </c>
      <c r="AA81" s="1102" t="e">
        <f>#REF!/'Inversion formato'!$H81</f>
        <v>#REF!</v>
      </c>
      <c r="AB81" s="1102" t="e">
        <f>#REF!/'Inversion formato'!$H81</f>
        <v>#REF!</v>
      </c>
      <c r="AC81" s="1102" t="e">
        <f>#REF!/'Inversion formato'!$H81</f>
        <v>#REF!</v>
      </c>
      <c r="AD81" s="1102" t="e">
        <f>#REF!/'Inversion formato'!$H81</f>
        <v>#REF!</v>
      </c>
      <c r="AE81" s="1102" t="e">
        <f>#REF!/'Inversion formato'!$H81</f>
        <v>#REF!</v>
      </c>
      <c r="AF81" s="1102" t="e">
        <f>#REF!/'Inversion formato'!$H81</f>
        <v>#REF!</v>
      </c>
      <c r="AG81" s="1082" t="e">
        <f t="shared" si="9"/>
        <v>#REF!</v>
      </c>
    </row>
    <row r="82" spans="1:33" ht="25.5" customHeight="1">
      <c r="A82" s="1080" t="e">
        <f>#REF!</f>
        <v>#REF!</v>
      </c>
      <c r="B82" s="1098" t="e">
        <f>#REF!</f>
        <v>#REF!</v>
      </c>
      <c r="C82" s="1099">
        <f t="shared" si="7"/>
        <v>14332882.708322734</v>
      </c>
      <c r="D82" s="1100">
        <f t="shared" si="2"/>
        <v>0.66354792968333809</v>
      </c>
      <c r="E82" s="1099">
        <f t="shared" si="8"/>
        <v>9510554.6475016661</v>
      </c>
      <c r="F82" s="1101" t="e">
        <f>H82/$H$84</f>
        <v>#REF!</v>
      </c>
      <c r="G82" s="23"/>
      <c r="H82" s="1099" t="e">
        <f>#REF!</f>
        <v>#REF!</v>
      </c>
      <c r="I82" s="23"/>
      <c r="J82" s="1099">
        <v>14332882.708322734</v>
      </c>
      <c r="K82" s="1099">
        <v>14332882.708322734</v>
      </c>
      <c r="L82" s="1099" t="e">
        <v>#VALUE!</v>
      </c>
      <c r="M82" s="1099" t="e">
        <v>#VALUE!</v>
      </c>
      <c r="N82" s="1099" t="e">
        <v>#VALUE!</v>
      </c>
      <c r="O82" s="118"/>
      <c r="P82" s="1099">
        <v>9510554.6475016661</v>
      </c>
      <c r="Q82" s="1099">
        <v>9510554.6475016661</v>
      </c>
      <c r="R82" s="1099" t="e">
        <v>#VALUE!</v>
      </c>
      <c r="S82" s="1099" t="e">
        <v>#VALUE!</v>
      </c>
      <c r="T82" s="1099" t="e">
        <v>#VALUE!</v>
      </c>
      <c r="V82" s="1102" t="e">
        <f>#REF!/'Inversion formato'!$H82</f>
        <v>#REF!</v>
      </c>
      <c r="W82" s="1102" t="e">
        <f>#REF!/'Inversion formato'!$H82</f>
        <v>#REF!</v>
      </c>
      <c r="X82" s="1102" t="e">
        <f>#REF!/'Inversion formato'!$H82</f>
        <v>#REF!</v>
      </c>
      <c r="Y82" s="1102" t="e">
        <f>#REF!/'Inversion formato'!$H82</f>
        <v>#REF!</v>
      </c>
      <c r="Z82" s="1102" t="e">
        <f>#REF!/'Inversion formato'!$H82</f>
        <v>#REF!</v>
      </c>
      <c r="AA82" s="1102" t="e">
        <f>#REF!/'Inversion formato'!$H82</f>
        <v>#REF!</v>
      </c>
      <c r="AB82" s="1102" t="e">
        <f>#REF!/'Inversion formato'!$H82</f>
        <v>#REF!</v>
      </c>
      <c r="AC82" s="1102" t="e">
        <f>#REF!/'Inversion formato'!$H82</f>
        <v>#REF!</v>
      </c>
      <c r="AD82" s="1102" t="e">
        <f>#REF!/'Inversion formato'!$H82</f>
        <v>#REF!</v>
      </c>
      <c r="AE82" s="1102" t="e">
        <f>#REF!/'Inversion formato'!$H82</f>
        <v>#REF!</v>
      </c>
      <c r="AF82" s="1102" t="e">
        <f>#REF!/'Inversion formato'!$H82</f>
        <v>#REF!</v>
      </c>
      <c r="AG82" s="1082" t="e">
        <f t="shared" si="9"/>
        <v>#REF!</v>
      </c>
    </row>
    <row r="83" spans="1:33" ht="13.5" customHeight="1">
      <c r="A83" s="1112"/>
      <c r="B83" s="1113"/>
      <c r="C83" s="1114"/>
      <c r="D83" s="1115"/>
      <c r="E83" s="1114"/>
      <c r="F83" s="1114"/>
      <c r="G83" s="23"/>
      <c r="H83" s="1114"/>
      <c r="I83" s="23"/>
      <c r="J83" s="1114"/>
      <c r="K83" s="1114"/>
      <c r="L83" s="1114"/>
      <c r="M83" s="1114"/>
      <c r="N83" s="1114"/>
      <c r="O83" s="23"/>
      <c r="P83" s="1114"/>
      <c r="Q83" s="1114"/>
      <c r="R83" s="1114"/>
      <c r="S83" s="1114"/>
      <c r="T83" s="1114"/>
      <c r="V83" s="248"/>
      <c r="W83" s="248"/>
      <c r="X83" s="248"/>
      <c r="Y83" s="248"/>
      <c r="Z83" s="248"/>
      <c r="AA83" s="248"/>
      <c r="AB83" s="248"/>
      <c r="AC83" s="248"/>
      <c r="AD83" s="248"/>
      <c r="AE83" s="248"/>
      <c r="AF83" s="248"/>
      <c r="AG83" s="247"/>
    </row>
    <row r="84" spans="1:33" ht="25.5" customHeight="1">
      <c r="A84" s="23"/>
      <c r="B84" s="1080" t="s">
        <v>18</v>
      </c>
      <c r="C84" s="1099">
        <f>C8+C44+C59+C81+C82</f>
        <v>334891748.01239634</v>
      </c>
      <c r="D84" s="1100">
        <f t="shared" si="2"/>
        <v>0.77957965408724816</v>
      </c>
      <c r="E84" s="1099">
        <f>E8+E44+E59+E81+E82</f>
        <v>261074793.0721778</v>
      </c>
      <c r="F84" s="1101" t="e">
        <f>F8+F44+F59+F81+F82</f>
        <v>#REF!</v>
      </c>
      <c r="G84" s="34"/>
      <c r="H84" s="1099" t="e">
        <f>H8+H44+H59+H81+H82</f>
        <v>#REF!</v>
      </c>
      <c r="I84" s="34"/>
      <c r="J84" s="1099">
        <v>334891748.01239634</v>
      </c>
      <c r="K84" s="1099">
        <v>334891748.01239634</v>
      </c>
      <c r="L84" s="1099" t="e">
        <v>#VALUE!</v>
      </c>
      <c r="M84" s="1099" t="e">
        <v>#VALUE!</v>
      </c>
      <c r="N84" s="1099" t="e">
        <v>#VALUE!</v>
      </c>
      <c r="O84" s="58"/>
      <c r="P84" s="1099">
        <v>261074793.0721778</v>
      </c>
      <c r="Q84" s="1099">
        <v>261074793.0721778</v>
      </c>
      <c r="R84" s="1099" t="e">
        <v>#VALUE!</v>
      </c>
      <c r="S84" s="1099" t="e">
        <v>#VALUE!</v>
      </c>
      <c r="T84" s="1099" t="e">
        <v>#VALUE!</v>
      </c>
      <c r="V84" s="1116" t="e">
        <f>#REF!/'Inversion formato'!$H84</f>
        <v>#REF!</v>
      </c>
      <c r="W84" s="1116" t="e">
        <f>#REF!/'Inversion formato'!$H84</f>
        <v>#REF!</v>
      </c>
      <c r="X84" s="1116" t="e">
        <f>#REF!/'Inversion formato'!$H84</f>
        <v>#REF!</v>
      </c>
      <c r="Y84" s="1116" t="e">
        <f>#REF!/'Inversion formato'!$H84</f>
        <v>#REF!</v>
      </c>
      <c r="Z84" s="1116" t="e">
        <f>#REF!/'Inversion formato'!$H84</f>
        <v>#REF!</v>
      </c>
      <c r="AA84" s="1116" t="e">
        <f>#REF!/'Inversion formato'!$H84</f>
        <v>#REF!</v>
      </c>
      <c r="AB84" s="1116" t="e">
        <f>#REF!/'Inversion formato'!$H84</f>
        <v>#REF!</v>
      </c>
      <c r="AC84" s="1116" t="e">
        <f>#REF!/'Inversion formato'!$H84</f>
        <v>#REF!</v>
      </c>
      <c r="AD84" s="1116" t="e">
        <f>#REF!/'Inversion formato'!$H84</f>
        <v>#REF!</v>
      </c>
      <c r="AE84" s="1116" t="e">
        <f>#REF!/'Inversion formato'!$H84</f>
        <v>#REF!</v>
      </c>
      <c r="AF84" s="1116" t="e">
        <f>#REF!/'Inversion formato'!$H84</f>
        <v>#REF!</v>
      </c>
      <c r="AG84" s="1117" t="e">
        <f t="shared" si="9"/>
        <v>#REF!</v>
      </c>
    </row>
    <row r="85" spans="1:33">
      <c r="A85" s="23"/>
      <c r="B85" s="23"/>
      <c r="C85" s="23"/>
      <c r="D85" s="5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V85" s="760"/>
      <c r="W85" s="760"/>
      <c r="X85" s="760"/>
      <c r="Y85" s="760"/>
      <c r="Z85" s="760"/>
      <c r="AA85" s="760"/>
      <c r="AB85" s="760"/>
      <c r="AC85" s="760"/>
      <c r="AD85" s="760"/>
      <c r="AE85" s="760"/>
      <c r="AF85" s="760"/>
      <c r="AG85" s="760"/>
    </row>
    <row r="86" spans="1:33">
      <c r="A86" s="23"/>
      <c r="B86" s="1067" t="s">
        <v>513</v>
      </c>
      <c r="C86" s="23"/>
      <c r="D86" s="5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V86" s="760"/>
      <c r="W86" s="760"/>
      <c r="X86" s="760"/>
      <c r="Y86" s="760"/>
      <c r="Z86" s="760"/>
      <c r="AA86" s="760"/>
      <c r="AB86" s="760"/>
      <c r="AC86" s="760"/>
      <c r="AD86" s="760"/>
      <c r="AE86" s="760"/>
      <c r="AF86" s="760"/>
      <c r="AG86" s="760"/>
    </row>
    <row r="87" spans="1:33">
      <c r="A87" s="23"/>
      <c r="B87" s="23" t="s">
        <v>514</v>
      </c>
      <c r="C87" s="23"/>
      <c r="D87" s="5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V87" s="760"/>
      <c r="W87" s="760"/>
      <c r="X87" s="760"/>
      <c r="Y87" s="760"/>
      <c r="Z87" s="760"/>
      <c r="AA87" s="760"/>
      <c r="AB87" s="760"/>
      <c r="AC87" s="760"/>
      <c r="AD87" s="760"/>
      <c r="AE87" s="760"/>
      <c r="AF87" s="760"/>
      <c r="AG87" s="760"/>
    </row>
    <row r="88" spans="1:33">
      <c r="A88" s="23"/>
      <c r="B88" s="23" t="s">
        <v>515</v>
      </c>
      <c r="C88" s="23"/>
      <c r="D88" s="5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V88" s="760"/>
      <c r="W88" s="760"/>
      <c r="X88" s="760"/>
      <c r="Y88" s="760"/>
      <c r="Z88" s="760"/>
      <c r="AA88" s="760"/>
      <c r="AB88" s="760"/>
      <c r="AC88" s="760"/>
      <c r="AD88" s="760"/>
      <c r="AE88" s="760"/>
      <c r="AF88" s="760"/>
      <c r="AG88" s="760"/>
    </row>
    <row r="90" spans="1:33">
      <c r="A90" s="760"/>
      <c r="B90" s="760"/>
      <c r="C90" s="62"/>
      <c r="D90" s="62"/>
      <c r="E90" s="760"/>
      <c r="F90" s="760"/>
      <c r="G90" s="760"/>
      <c r="H90" s="760"/>
      <c r="I90" s="760"/>
      <c r="J90" s="760"/>
      <c r="K90" s="760"/>
      <c r="L90" s="760"/>
      <c r="M90" s="760"/>
      <c r="N90" s="760"/>
      <c r="O90" s="760"/>
      <c r="P90" s="760"/>
      <c r="Q90" s="760"/>
      <c r="R90" s="760"/>
      <c r="S90" s="760"/>
      <c r="T90" s="760"/>
      <c r="V90" s="760"/>
      <c r="W90" s="760"/>
      <c r="X90" s="760"/>
      <c r="Y90" s="760"/>
      <c r="Z90" s="760"/>
      <c r="AA90" s="760"/>
      <c r="AB90" s="760"/>
      <c r="AC90" s="760"/>
      <c r="AD90" s="760"/>
      <c r="AE90" s="760"/>
      <c r="AF90" s="760"/>
      <c r="AG90" s="760"/>
    </row>
    <row r="92" spans="1:33">
      <c r="A92" s="760"/>
      <c r="B92" s="62"/>
      <c r="C92" s="62"/>
      <c r="E92" s="760"/>
      <c r="F92" s="760"/>
      <c r="G92" s="760"/>
      <c r="H92" s="760"/>
      <c r="I92" s="760"/>
      <c r="J92" s="760"/>
      <c r="K92" s="760"/>
      <c r="L92" s="760"/>
      <c r="M92" s="760"/>
      <c r="N92" s="760"/>
      <c r="O92" s="760"/>
      <c r="P92" s="760"/>
      <c r="Q92" s="760"/>
      <c r="R92" s="760"/>
      <c r="S92" s="760"/>
      <c r="T92" s="760"/>
      <c r="V92" s="760"/>
      <c r="W92" s="760"/>
      <c r="X92" s="760"/>
      <c r="Y92" s="760"/>
      <c r="Z92" s="760"/>
      <c r="AA92" s="760"/>
      <c r="AB92" s="760"/>
      <c r="AC92" s="760"/>
      <c r="AD92" s="760"/>
      <c r="AE92" s="760"/>
      <c r="AF92" s="760"/>
      <c r="AG92" s="760"/>
    </row>
    <row r="93" spans="1:33">
      <c r="A93" s="760"/>
      <c r="B93" s="760"/>
      <c r="C93" s="62"/>
      <c r="E93" s="760"/>
      <c r="F93" s="760"/>
      <c r="G93" s="760"/>
      <c r="H93" s="760"/>
      <c r="I93" s="760"/>
      <c r="J93" s="760"/>
      <c r="K93" s="760"/>
      <c r="L93" s="760"/>
      <c r="M93" s="760"/>
      <c r="N93" s="760"/>
      <c r="O93" s="760"/>
      <c r="P93" s="760"/>
      <c r="Q93" s="760"/>
      <c r="R93" s="760"/>
      <c r="S93" s="760"/>
      <c r="T93" s="760"/>
      <c r="V93" s="760"/>
      <c r="W93" s="760"/>
      <c r="X93" s="760"/>
      <c r="Y93" s="760"/>
      <c r="Z93" s="760"/>
      <c r="AA93" s="760"/>
      <c r="AB93" s="760"/>
      <c r="AC93" s="760"/>
      <c r="AD93" s="760"/>
      <c r="AE93" s="760"/>
      <c r="AF93" s="760"/>
      <c r="AG93" s="760"/>
    </row>
    <row r="94" spans="1:33">
      <c r="A94" s="760"/>
      <c r="B94" s="62"/>
      <c r="C94" s="62"/>
      <c r="E94" s="760"/>
      <c r="F94" s="760"/>
      <c r="G94" s="760"/>
      <c r="H94" s="760"/>
      <c r="I94" s="760"/>
      <c r="J94" s="760"/>
      <c r="K94" s="760"/>
      <c r="L94" s="760"/>
      <c r="M94" s="760"/>
      <c r="N94" s="760"/>
      <c r="O94" s="760"/>
      <c r="P94" s="760"/>
      <c r="Q94" s="760"/>
      <c r="R94" s="760"/>
      <c r="S94" s="760"/>
      <c r="T94" s="760"/>
      <c r="V94" s="760"/>
      <c r="W94" s="760"/>
      <c r="X94" s="760"/>
      <c r="Y94" s="760"/>
      <c r="Z94" s="760"/>
      <c r="AA94" s="760"/>
      <c r="AB94" s="760"/>
      <c r="AC94" s="760"/>
      <c r="AD94" s="760"/>
      <c r="AE94" s="760"/>
      <c r="AF94" s="760"/>
      <c r="AG94" s="760"/>
    </row>
    <row r="95" spans="1:33">
      <c r="A95" s="760"/>
      <c r="B95" s="62"/>
      <c r="C95" s="62"/>
      <c r="E95" s="760"/>
      <c r="F95" s="760"/>
      <c r="G95" s="760"/>
      <c r="H95" s="760"/>
      <c r="I95" s="760"/>
      <c r="J95" s="760"/>
      <c r="K95" s="760"/>
      <c r="L95" s="760"/>
      <c r="M95" s="760"/>
      <c r="N95" s="760"/>
      <c r="O95" s="760"/>
      <c r="P95" s="760"/>
      <c r="Q95" s="760"/>
      <c r="R95" s="760"/>
      <c r="S95" s="760"/>
      <c r="T95" s="760"/>
      <c r="V95" s="760"/>
      <c r="W95" s="760"/>
      <c r="X95" s="760"/>
      <c r="Y95" s="760"/>
      <c r="Z95" s="760"/>
      <c r="AA95" s="760"/>
      <c r="AB95" s="760"/>
      <c r="AC95" s="760"/>
      <c r="AD95" s="760"/>
      <c r="AE95" s="760"/>
      <c r="AF95" s="760"/>
      <c r="AG95" s="760"/>
    </row>
    <row r="96" spans="1:33">
      <c r="A96" s="760"/>
      <c r="B96" s="62"/>
      <c r="C96" s="62"/>
      <c r="E96" s="760"/>
      <c r="F96" s="760"/>
      <c r="G96" s="760"/>
      <c r="H96" s="760"/>
      <c r="I96" s="760"/>
      <c r="J96" s="760"/>
      <c r="K96" s="760"/>
      <c r="L96" s="760"/>
      <c r="M96" s="760"/>
      <c r="N96" s="760"/>
      <c r="O96" s="760"/>
      <c r="P96" s="760"/>
      <c r="Q96" s="760"/>
      <c r="R96" s="760"/>
      <c r="S96" s="760"/>
      <c r="T96" s="760"/>
      <c r="V96" s="760"/>
      <c r="W96" s="760"/>
      <c r="X96" s="760"/>
      <c r="Y96" s="760"/>
      <c r="Z96" s="760"/>
      <c r="AA96" s="760"/>
      <c r="AB96" s="760"/>
      <c r="AC96" s="760"/>
      <c r="AD96" s="760"/>
      <c r="AE96" s="760"/>
      <c r="AF96" s="760"/>
      <c r="AG96" s="760"/>
    </row>
    <row r="97" spans="3:3">
      <c r="C97" s="62"/>
    </row>
    <row r="98" spans="3:3">
      <c r="C98" s="62"/>
    </row>
    <row r="99" spans="3:3">
      <c r="C99" s="62"/>
    </row>
  </sheetData>
  <mergeCells count="10">
    <mergeCell ref="V6:AF6"/>
    <mergeCell ref="AG6:AG7"/>
    <mergeCell ref="P6:T6"/>
    <mergeCell ref="J6:N6"/>
    <mergeCell ref="H6:H7"/>
    <mergeCell ref="A2:F2"/>
    <mergeCell ref="A6:A7"/>
    <mergeCell ref="B6:B7"/>
    <mergeCell ref="C6:E6"/>
    <mergeCell ref="F6:F7"/>
  </mergeCells>
  <phoneticPr fontId="2" type="noConversion"/>
  <pageMargins left="0.75" right="0.75" top="1" bottom="1" header="0" footer="0"/>
  <pageSetup paperSize="9" scale="56" fitToHeight="3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25"/>
  <dimension ref="A1:T54"/>
  <sheetViews>
    <sheetView topLeftCell="A31" workbookViewId="0">
      <selection activeCell="M53" sqref="M53"/>
    </sheetView>
  </sheetViews>
  <sheetFormatPr defaultColWidth="10.7109375" defaultRowHeight="13.15"/>
  <cols>
    <col min="1" max="1" width="6.7109375" customWidth="1"/>
    <col min="2" max="2" width="28.140625" customWidth="1"/>
    <col min="3" max="18" width="7.28515625" customWidth="1"/>
    <col min="19" max="20" width="8.7109375" customWidth="1"/>
  </cols>
  <sheetData>
    <row r="1" spans="1:2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7.45">
      <c r="A2" s="952" t="e">
        <f>"RESUMEN DE COSTOS DE O/M INCREMENTAL "&amp;CHOOSE(Te,"(Precios Privados)","(Precios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1067" t="s">
        <v>516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>
      <c r="A5" s="951" t="s">
        <v>487</v>
      </c>
      <c r="B5" s="1074" t="s">
        <v>488</v>
      </c>
      <c r="C5" s="1075" t="s">
        <v>517</v>
      </c>
      <c r="D5" s="1075"/>
      <c r="E5" s="1075"/>
      <c r="F5" s="1075"/>
      <c r="G5" s="1075"/>
      <c r="H5" s="1075"/>
      <c r="I5" s="1075"/>
      <c r="J5" s="1075"/>
      <c r="K5" s="1075"/>
      <c r="L5" s="1075"/>
      <c r="M5" s="1075"/>
      <c r="N5" s="1075"/>
      <c r="O5" s="1075"/>
      <c r="P5" s="1075"/>
      <c r="Q5" s="1075"/>
      <c r="R5" s="1075"/>
      <c r="S5" s="1074" t="s">
        <v>18</v>
      </c>
      <c r="T5" s="1074" t="s">
        <v>107</v>
      </c>
    </row>
    <row r="6" spans="1:20">
      <c r="A6" s="951"/>
      <c r="B6" s="1074"/>
      <c r="C6" s="1076" t="e">
        <f>#REF!</f>
        <v>#REF!</v>
      </c>
      <c r="D6" s="1076" t="e">
        <f>#REF!</f>
        <v>#REF!</v>
      </c>
      <c r="E6" s="1076" t="e">
        <f>#REF!</f>
        <v>#REF!</v>
      </c>
      <c r="F6" s="1076" t="e">
        <f>#REF!</f>
        <v>#REF!</v>
      </c>
      <c r="G6" s="1076" t="e">
        <f>#REF!</f>
        <v>#REF!</v>
      </c>
      <c r="H6" s="1076" t="e">
        <f>#REF!</f>
        <v>#REF!</v>
      </c>
      <c r="I6" s="1076" t="e">
        <f>#REF!</f>
        <v>#REF!</v>
      </c>
      <c r="J6" s="1076" t="e">
        <f>#REF!</f>
        <v>#REF!</v>
      </c>
      <c r="K6" s="1076" t="e">
        <f>#REF!</f>
        <v>#REF!</v>
      </c>
      <c r="L6" s="1076" t="e">
        <f>#REF!</f>
        <v>#REF!</v>
      </c>
      <c r="M6" s="1076" t="e">
        <f>#REF!</f>
        <v>#REF!</v>
      </c>
      <c r="N6" s="1076" t="e">
        <f>#REF!</f>
        <v>#REF!</v>
      </c>
      <c r="O6" s="1076" t="e">
        <f>#REF!</f>
        <v>#REF!</v>
      </c>
      <c r="P6" s="1076" t="e">
        <f>#REF!</f>
        <v>#REF!</v>
      </c>
      <c r="Q6" s="1076" t="e">
        <f>#REF!</f>
        <v>#REF!</v>
      </c>
      <c r="R6" s="1076" t="e">
        <f>#REF!</f>
        <v>#REF!</v>
      </c>
      <c r="S6" s="1074"/>
      <c r="T6" s="1074"/>
    </row>
    <row r="7" spans="1:20" ht="25.5" customHeight="1">
      <c r="A7" s="1118">
        <v>1</v>
      </c>
      <c r="B7" s="1119" t="s">
        <v>518</v>
      </c>
      <c r="C7" s="1077" t="e">
        <f>SUM(C8:C9)</f>
        <v>#REF!</v>
      </c>
      <c r="D7" s="1077" t="e">
        <f t="shared" ref="D7:R7" si="0">SUM(D8:D9)</f>
        <v>#REF!</v>
      </c>
      <c r="E7" s="1077" t="e">
        <f t="shared" si="0"/>
        <v>#REF!</v>
      </c>
      <c r="F7" s="1077" t="e">
        <f t="shared" si="0"/>
        <v>#REF!</v>
      </c>
      <c r="G7" s="1077" t="e">
        <f t="shared" si="0"/>
        <v>#REF!</v>
      </c>
      <c r="H7" s="1077" t="e">
        <f t="shared" si="0"/>
        <v>#REF!</v>
      </c>
      <c r="I7" s="1077" t="e">
        <f t="shared" si="0"/>
        <v>#REF!</v>
      </c>
      <c r="J7" s="1077" t="e">
        <f t="shared" si="0"/>
        <v>#REF!</v>
      </c>
      <c r="K7" s="1077" t="e">
        <f t="shared" si="0"/>
        <v>#REF!</v>
      </c>
      <c r="L7" s="1077" t="e">
        <f t="shared" si="0"/>
        <v>#REF!</v>
      </c>
      <c r="M7" s="1077" t="e">
        <f t="shared" si="0"/>
        <v>#REF!</v>
      </c>
      <c r="N7" s="1077" t="e">
        <f t="shared" si="0"/>
        <v>#REF!</v>
      </c>
      <c r="O7" s="1077" t="e">
        <f t="shared" si="0"/>
        <v>#REF!</v>
      </c>
      <c r="P7" s="1077" t="e">
        <f t="shared" si="0"/>
        <v>#REF!</v>
      </c>
      <c r="Q7" s="1077" t="e">
        <f t="shared" si="0"/>
        <v>#REF!</v>
      </c>
      <c r="R7" s="1077" t="e">
        <f t="shared" si="0"/>
        <v>#REF!</v>
      </c>
      <c r="S7" s="1077" t="e">
        <f>SUM(C7:R7)</f>
        <v>#REF!</v>
      </c>
      <c r="T7" s="1078" t="e">
        <f>S7/$S$13</f>
        <v>#REF!</v>
      </c>
    </row>
    <row r="8" spans="1:20" ht="25.5" customHeight="1">
      <c r="A8" s="74">
        <v>1.1000000000000001</v>
      </c>
      <c r="B8" s="95" t="s">
        <v>519</v>
      </c>
      <c r="C8" s="96" t="e">
        <f>#REF!/Millon</f>
        <v>#REF!</v>
      </c>
      <c r="D8" s="96" t="e">
        <f>#REF!/Millon</f>
        <v>#REF!</v>
      </c>
      <c r="E8" s="96" t="e">
        <f>#REF!/Millon</f>
        <v>#REF!</v>
      </c>
      <c r="F8" s="96" t="e">
        <f>#REF!/Millon</f>
        <v>#REF!</v>
      </c>
      <c r="G8" s="96" t="e">
        <f>#REF!/Millon</f>
        <v>#REF!</v>
      </c>
      <c r="H8" s="96" t="e">
        <f>#REF!/Millon</f>
        <v>#REF!</v>
      </c>
      <c r="I8" s="96" t="e">
        <f>#REF!/Millon</f>
        <v>#REF!</v>
      </c>
      <c r="J8" s="96" t="e">
        <f>#REF!/Millon</f>
        <v>#REF!</v>
      </c>
      <c r="K8" s="96" t="e">
        <f>#REF!/Millon</f>
        <v>#REF!</v>
      </c>
      <c r="L8" s="96" t="e">
        <f>#REF!/Millon</f>
        <v>#REF!</v>
      </c>
      <c r="M8" s="96" t="e">
        <f>#REF!/Millon</f>
        <v>#REF!</v>
      </c>
      <c r="N8" s="96" t="e">
        <f>#REF!/Millon</f>
        <v>#REF!</v>
      </c>
      <c r="O8" s="96" t="e">
        <f>#REF!/Millon</f>
        <v>#REF!</v>
      </c>
      <c r="P8" s="96" t="e">
        <f>#REF!/Millon</f>
        <v>#REF!</v>
      </c>
      <c r="Q8" s="96" t="e">
        <f>#REF!/Millon</f>
        <v>#REF!</v>
      </c>
      <c r="R8" s="96" t="e">
        <f>#REF!/Millon</f>
        <v>#REF!</v>
      </c>
      <c r="S8" s="96" t="e">
        <f>SUM(C8:R8)</f>
        <v>#REF!</v>
      </c>
      <c r="T8" s="167" t="e">
        <f>S8/$S$7</f>
        <v>#REF!</v>
      </c>
    </row>
    <row r="9" spans="1:20" ht="25.5" customHeight="1">
      <c r="A9" s="74">
        <v>1.2</v>
      </c>
      <c r="B9" s="95" t="s">
        <v>520</v>
      </c>
      <c r="C9" s="96" t="e">
        <f>#REF!/Millon</f>
        <v>#REF!</v>
      </c>
      <c r="D9" s="96" t="e">
        <f>#REF!/Millon</f>
        <v>#REF!</v>
      </c>
      <c r="E9" s="96" t="e">
        <f>#REF!/Millon</f>
        <v>#REF!</v>
      </c>
      <c r="F9" s="96" t="e">
        <f>#REF!/Millon</f>
        <v>#REF!</v>
      </c>
      <c r="G9" s="96" t="e">
        <f>#REF!/Millon</f>
        <v>#REF!</v>
      </c>
      <c r="H9" s="96" t="e">
        <f>#REF!/Millon</f>
        <v>#REF!</v>
      </c>
      <c r="I9" s="96" t="e">
        <f>#REF!/Millon</f>
        <v>#REF!</v>
      </c>
      <c r="J9" s="96" t="e">
        <f>#REF!/Millon</f>
        <v>#REF!</v>
      </c>
      <c r="K9" s="96" t="e">
        <f>#REF!/Millon</f>
        <v>#REF!</v>
      </c>
      <c r="L9" s="96" t="e">
        <f>#REF!/Millon</f>
        <v>#REF!</v>
      </c>
      <c r="M9" s="96" t="e">
        <f>#REF!/Millon</f>
        <v>#REF!</v>
      </c>
      <c r="N9" s="96" t="e">
        <f>#REF!/Millon</f>
        <v>#REF!</v>
      </c>
      <c r="O9" s="96" t="e">
        <f>#REF!/Millon</f>
        <v>#REF!</v>
      </c>
      <c r="P9" s="96" t="e">
        <f>#REF!/Millon</f>
        <v>#REF!</v>
      </c>
      <c r="Q9" s="96" t="e">
        <f>#REF!/Millon</f>
        <v>#REF!</v>
      </c>
      <c r="R9" s="96" t="e">
        <f>#REF!/Millon</f>
        <v>#REF!</v>
      </c>
      <c r="S9" s="96" t="e">
        <f>SUM(C9:R9)</f>
        <v>#REF!</v>
      </c>
      <c r="T9" s="167" t="e">
        <f>S9/$S$7</f>
        <v>#REF!</v>
      </c>
    </row>
    <row r="10" spans="1:20" ht="25.5" customHeight="1">
      <c r="A10" s="1118">
        <v>2</v>
      </c>
      <c r="B10" s="1119" t="s">
        <v>521</v>
      </c>
      <c r="C10" s="1077" t="e">
        <f>SUM(C11)</f>
        <v>#REF!</v>
      </c>
      <c r="D10" s="1077" t="e">
        <f t="shared" ref="D10:R10" si="1">SUM(D11)</f>
        <v>#REF!</v>
      </c>
      <c r="E10" s="1077" t="e">
        <f t="shared" si="1"/>
        <v>#REF!</v>
      </c>
      <c r="F10" s="1077" t="e">
        <f t="shared" si="1"/>
        <v>#REF!</v>
      </c>
      <c r="G10" s="1077" t="e">
        <f t="shared" si="1"/>
        <v>#REF!</v>
      </c>
      <c r="H10" s="1077" t="e">
        <f t="shared" si="1"/>
        <v>#REF!</v>
      </c>
      <c r="I10" s="1077" t="e">
        <f t="shared" si="1"/>
        <v>#REF!</v>
      </c>
      <c r="J10" s="1077" t="e">
        <f t="shared" si="1"/>
        <v>#REF!</v>
      </c>
      <c r="K10" s="1077" t="e">
        <f t="shared" si="1"/>
        <v>#REF!</v>
      </c>
      <c r="L10" s="1077" t="e">
        <f t="shared" si="1"/>
        <v>#REF!</v>
      </c>
      <c r="M10" s="1077" t="e">
        <f t="shared" si="1"/>
        <v>#REF!</v>
      </c>
      <c r="N10" s="1077" t="e">
        <f t="shared" si="1"/>
        <v>#REF!</v>
      </c>
      <c r="O10" s="1077" t="e">
        <f t="shared" si="1"/>
        <v>#REF!</v>
      </c>
      <c r="P10" s="1077" t="e">
        <f t="shared" si="1"/>
        <v>#REF!</v>
      </c>
      <c r="Q10" s="1077" t="e">
        <f t="shared" si="1"/>
        <v>#REF!</v>
      </c>
      <c r="R10" s="1077" t="e">
        <f t="shared" si="1"/>
        <v>#REF!</v>
      </c>
      <c r="S10" s="1077" t="e">
        <f>SUM(C10:R10)</f>
        <v>#REF!</v>
      </c>
      <c r="T10" s="1078" t="e">
        <f>S10/$S$13</f>
        <v>#REF!</v>
      </c>
    </row>
    <row r="11" spans="1:20" ht="25.5" customHeight="1">
      <c r="A11" s="74">
        <v>2.1</v>
      </c>
      <c r="B11" s="95" t="s">
        <v>522</v>
      </c>
      <c r="C11" s="96" t="e">
        <f>#REF!/Millon</f>
        <v>#REF!</v>
      </c>
      <c r="D11" s="96" t="e">
        <f>#REF!/Millon</f>
        <v>#REF!</v>
      </c>
      <c r="E11" s="96" t="e">
        <f>#REF!/Millon</f>
        <v>#REF!</v>
      </c>
      <c r="F11" s="96" t="e">
        <f>#REF!/Millon</f>
        <v>#REF!</v>
      </c>
      <c r="G11" s="96" t="e">
        <f>#REF!/Millon</f>
        <v>#REF!</v>
      </c>
      <c r="H11" s="96" t="e">
        <f>#REF!/Millon</f>
        <v>#REF!</v>
      </c>
      <c r="I11" s="96" t="e">
        <f>#REF!/Millon</f>
        <v>#REF!</v>
      </c>
      <c r="J11" s="96" t="e">
        <f>#REF!/Millon</f>
        <v>#REF!</v>
      </c>
      <c r="K11" s="96" t="e">
        <f>#REF!/Millon</f>
        <v>#REF!</v>
      </c>
      <c r="L11" s="96" t="e">
        <f>#REF!/Millon</f>
        <v>#REF!</v>
      </c>
      <c r="M11" s="96" t="e">
        <f>#REF!/Millon</f>
        <v>#REF!</v>
      </c>
      <c r="N11" s="96" t="e">
        <f>#REF!/Millon</f>
        <v>#REF!</v>
      </c>
      <c r="O11" s="96" t="e">
        <f>#REF!/Millon</f>
        <v>#REF!</v>
      </c>
      <c r="P11" s="96" t="e">
        <f>#REF!/Millon</f>
        <v>#REF!</v>
      </c>
      <c r="Q11" s="96" t="e">
        <f>#REF!/Millon</f>
        <v>#REF!</v>
      </c>
      <c r="R11" s="96" t="e">
        <f>#REF!/Millon</f>
        <v>#REF!</v>
      </c>
      <c r="S11" s="96" t="e">
        <f>SUM(C11:R11)</f>
        <v>#REF!</v>
      </c>
      <c r="T11" s="167" t="e">
        <f>S11/S10</f>
        <v>#REF!</v>
      </c>
    </row>
    <row r="12" spans="1:20" ht="13.5" customHeight="1">
      <c r="A12" s="41"/>
      <c r="B12" s="51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1079"/>
      <c r="S12" s="1079"/>
      <c r="T12" s="98"/>
    </row>
    <row r="13" spans="1:20" ht="25.5" customHeight="1">
      <c r="A13" s="41"/>
      <c r="B13" s="1080" t="s">
        <v>490</v>
      </c>
      <c r="C13" s="1081" t="e">
        <f>C7+C10</f>
        <v>#REF!</v>
      </c>
      <c r="D13" s="1081" t="e">
        <f t="shared" ref="D13:R13" si="2">D7+D10</f>
        <v>#REF!</v>
      </c>
      <c r="E13" s="1081" t="e">
        <f t="shared" si="2"/>
        <v>#REF!</v>
      </c>
      <c r="F13" s="1081" t="e">
        <f t="shared" si="2"/>
        <v>#REF!</v>
      </c>
      <c r="G13" s="1081" t="e">
        <f t="shared" si="2"/>
        <v>#REF!</v>
      </c>
      <c r="H13" s="1081" t="e">
        <f t="shared" si="2"/>
        <v>#REF!</v>
      </c>
      <c r="I13" s="1081" t="e">
        <f t="shared" si="2"/>
        <v>#REF!</v>
      </c>
      <c r="J13" s="1081" t="e">
        <f t="shared" si="2"/>
        <v>#REF!</v>
      </c>
      <c r="K13" s="1081" t="e">
        <f t="shared" si="2"/>
        <v>#REF!</v>
      </c>
      <c r="L13" s="1081" t="e">
        <f t="shared" si="2"/>
        <v>#REF!</v>
      </c>
      <c r="M13" s="1081" t="e">
        <f t="shared" si="2"/>
        <v>#REF!</v>
      </c>
      <c r="N13" s="1081" t="e">
        <f t="shared" si="2"/>
        <v>#REF!</v>
      </c>
      <c r="O13" s="1081" t="e">
        <f t="shared" si="2"/>
        <v>#REF!</v>
      </c>
      <c r="P13" s="1081" t="e">
        <f t="shared" si="2"/>
        <v>#REF!</v>
      </c>
      <c r="Q13" s="1081" t="e">
        <f t="shared" si="2"/>
        <v>#REF!</v>
      </c>
      <c r="R13" s="1081" t="e">
        <f t="shared" si="2"/>
        <v>#REF!</v>
      </c>
      <c r="S13" s="1081" t="e">
        <f>SUM(C13:R13)</f>
        <v>#REF!</v>
      </c>
      <c r="T13" s="1082" t="e">
        <f>T7+T10</f>
        <v>#REF!</v>
      </c>
    </row>
    <row r="14" spans="1:20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>
      <c r="A15" s="1067" t="s">
        <v>523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>
      <c r="A16" s="951" t="s">
        <v>487</v>
      </c>
      <c r="B16" s="1074" t="s">
        <v>488</v>
      </c>
      <c r="C16" s="1075" t="s">
        <v>517</v>
      </c>
      <c r="D16" s="1075"/>
      <c r="E16" s="1075"/>
      <c r="F16" s="1075"/>
      <c r="G16" s="1075"/>
      <c r="H16" s="1075"/>
      <c r="I16" s="1075"/>
      <c r="J16" s="1075"/>
      <c r="K16" s="1075"/>
      <c r="L16" s="1075"/>
      <c r="M16" s="1075"/>
      <c r="N16" s="1075"/>
      <c r="O16" s="1075"/>
      <c r="P16" s="1075"/>
      <c r="Q16" s="1075"/>
      <c r="R16" s="1075"/>
      <c r="S16" s="1074" t="s">
        <v>18</v>
      </c>
      <c r="T16" s="1074" t="s">
        <v>107</v>
      </c>
    </row>
    <row r="17" spans="1:20">
      <c r="A17" s="951"/>
      <c r="B17" s="1074"/>
      <c r="C17" s="1076" t="e">
        <f>#REF!</f>
        <v>#REF!</v>
      </c>
      <c r="D17" s="1076" t="e">
        <f>#REF!</f>
        <v>#REF!</v>
      </c>
      <c r="E17" s="1076" t="e">
        <f>#REF!</f>
        <v>#REF!</v>
      </c>
      <c r="F17" s="1076" t="e">
        <f>#REF!</f>
        <v>#REF!</v>
      </c>
      <c r="G17" s="1076" t="e">
        <f>#REF!</f>
        <v>#REF!</v>
      </c>
      <c r="H17" s="1076" t="e">
        <f>#REF!</f>
        <v>#REF!</v>
      </c>
      <c r="I17" s="1076" t="e">
        <f>#REF!</f>
        <v>#REF!</v>
      </c>
      <c r="J17" s="1076" t="e">
        <f>#REF!</f>
        <v>#REF!</v>
      </c>
      <c r="K17" s="1076" t="e">
        <f>#REF!</f>
        <v>#REF!</v>
      </c>
      <c r="L17" s="1076" t="e">
        <f>#REF!</f>
        <v>#REF!</v>
      </c>
      <c r="M17" s="1076" t="e">
        <f>#REF!</f>
        <v>#REF!</v>
      </c>
      <c r="N17" s="1076" t="e">
        <f>#REF!</f>
        <v>#REF!</v>
      </c>
      <c r="O17" s="1076" t="e">
        <f>#REF!</f>
        <v>#REF!</v>
      </c>
      <c r="P17" s="1076" t="e">
        <f>#REF!</f>
        <v>#REF!</v>
      </c>
      <c r="Q17" s="1076" t="e">
        <f>#REF!</f>
        <v>#REF!</v>
      </c>
      <c r="R17" s="1076" t="e">
        <f>#REF!</f>
        <v>#REF!</v>
      </c>
      <c r="S17" s="1074"/>
      <c r="T17" s="1074"/>
    </row>
    <row r="18" spans="1:20" ht="25.5" customHeight="1">
      <c r="A18" s="1118">
        <v>1</v>
      </c>
      <c r="B18" s="1119" t="s">
        <v>518</v>
      </c>
      <c r="C18" s="1077" t="e">
        <f t="shared" ref="C18:R18" si="3">SUM(C19:C20)</f>
        <v>#REF!</v>
      </c>
      <c r="D18" s="1077" t="e">
        <f t="shared" si="3"/>
        <v>#REF!</v>
      </c>
      <c r="E18" s="1077" t="e">
        <f t="shared" si="3"/>
        <v>#REF!</v>
      </c>
      <c r="F18" s="1077" t="e">
        <f t="shared" si="3"/>
        <v>#REF!</v>
      </c>
      <c r="G18" s="1077" t="e">
        <f t="shared" si="3"/>
        <v>#REF!</v>
      </c>
      <c r="H18" s="1077" t="e">
        <f t="shared" si="3"/>
        <v>#REF!</v>
      </c>
      <c r="I18" s="1077" t="e">
        <f t="shared" si="3"/>
        <v>#REF!</v>
      </c>
      <c r="J18" s="1077" t="e">
        <f t="shared" si="3"/>
        <v>#REF!</v>
      </c>
      <c r="K18" s="1077" t="e">
        <f t="shared" si="3"/>
        <v>#REF!</v>
      </c>
      <c r="L18" s="1077" t="e">
        <f t="shared" si="3"/>
        <v>#REF!</v>
      </c>
      <c r="M18" s="1077" t="e">
        <f t="shared" si="3"/>
        <v>#REF!</v>
      </c>
      <c r="N18" s="1077" t="e">
        <f t="shared" si="3"/>
        <v>#REF!</v>
      </c>
      <c r="O18" s="1077" t="e">
        <f t="shared" si="3"/>
        <v>#REF!</v>
      </c>
      <c r="P18" s="1077" t="e">
        <f t="shared" si="3"/>
        <v>#REF!</v>
      </c>
      <c r="Q18" s="1077" t="e">
        <f t="shared" si="3"/>
        <v>#REF!</v>
      </c>
      <c r="R18" s="1077" t="e">
        <f t="shared" si="3"/>
        <v>#REF!</v>
      </c>
      <c r="S18" s="1077" t="e">
        <f t="shared" ref="S18:S23" si="4">SUM(C18:R18)</f>
        <v>#REF!</v>
      </c>
      <c r="T18" s="1078" t="e">
        <f>S18/$S$25</f>
        <v>#REF!</v>
      </c>
    </row>
    <row r="19" spans="1:20" ht="25.5" customHeight="1">
      <c r="A19" s="74">
        <v>1.1000000000000001</v>
      </c>
      <c r="B19" s="95" t="s">
        <v>519</v>
      </c>
      <c r="C19" s="96" t="e">
        <f>#REF!/Millon</f>
        <v>#REF!</v>
      </c>
      <c r="D19" s="96" t="e">
        <f>#REF!/Millon</f>
        <v>#REF!</v>
      </c>
      <c r="E19" s="96" t="e">
        <f>#REF!/Millon</f>
        <v>#REF!</v>
      </c>
      <c r="F19" s="96" t="e">
        <f>#REF!/Millon</f>
        <v>#REF!</v>
      </c>
      <c r="G19" s="96" t="e">
        <f>#REF!/Millon</f>
        <v>#REF!</v>
      </c>
      <c r="H19" s="96" t="e">
        <f>#REF!/Millon</f>
        <v>#REF!</v>
      </c>
      <c r="I19" s="96" t="e">
        <f>#REF!/Millon</f>
        <v>#REF!</v>
      </c>
      <c r="J19" s="96" t="e">
        <f>#REF!/Millon</f>
        <v>#REF!</v>
      </c>
      <c r="K19" s="96" t="e">
        <f>#REF!/Millon</f>
        <v>#REF!</v>
      </c>
      <c r="L19" s="96" t="e">
        <f>#REF!/Millon</f>
        <v>#REF!</v>
      </c>
      <c r="M19" s="96" t="e">
        <f>#REF!/Millon</f>
        <v>#REF!</v>
      </c>
      <c r="N19" s="96" t="e">
        <f>#REF!/Millon</f>
        <v>#REF!</v>
      </c>
      <c r="O19" s="96" t="e">
        <f>#REF!/Millon</f>
        <v>#REF!</v>
      </c>
      <c r="P19" s="96" t="e">
        <f>#REF!/Millon</f>
        <v>#REF!</v>
      </c>
      <c r="Q19" s="96" t="e">
        <f>#REF!/Millon</f>
        <v>#REF!</v>
      </c>
      <c r="R19" s="96" t="e">
        <f>#REF!/Millon</f>
        <v>#REF!</v>
      </c>
      <c r="S19" s="96" t="e">
        <f t="shared" si="4"/>
        <v>#REF!</v>
      </c>
      <c r="T19" s="167" t="e">
        <f>S19/$S$18</f>
        <v>#REF!</v>
      </c>
    </row>
    <row r="20" spans="1:20" ht="25.5" customHeight="1">
      <c r="A20" s="74">
        <v>1.2</v>
      </c>
      <c r="B20" s="95" t="s">
        <v>520</v>
      </c>
      <c r="C20" s="96" t="e">
        <f>#REF!/Millon</f>
        <v>#REF!</v>
      </c>
      <c r="D20" s="96" t="e">
        <f>#REF!/Millon</f>
        <v>#REF!</v>
      </c>
      <c r="E20" s="96" t="e">
        <f>#REF!/Millon</f>
        <v>#REF!</v>
      </c>
      <c r="F20" s="96" t="e">
        <f>#REF!/Millon</f>
        <v>#REF!</v>
      </c>
      <c r="G20" s="96" t="e">
        <f>#REF!/Millon</f>
        <v>#REF!</v>
      </c>
      <c r="H20" s="96" t="e">
        <f>#REF!/Millon</f>
        <v>#REF!</v>
      </c>
      <c r="I20" s="96" t="e">
        <f>#REF!/Millon</f>
        <v>#REF!</v>
      </c>
      <c r="J20" s="96" t="e">
        <f>#REF!/Millon</f>
        <v>#REF!</v>
      </c>
      <c r="K20" s="96" t="e">
        <f>#REF!/Millon</f>
        <v>#REF!</v>
      </c>
      <c r="L20" s="96" t="e">
        <f>#REF!/Millon</f>
        <v>#REF!</v>
      </c>
      <c r="M20" s="96" t="e">
        <f>#REF!/Millon</f>
        <v>#REF!</v>
      </c>
      <c r="N20" s="96" t="e">
        <f>#REF!/Millon</f>
        <v>#REF!</v>
      </c>
      <c r="O20" s="96" t="e">
        <f>#REF!/Millon</f>
        <v>#REF!</v>
      </c>
      <c r="P20" s="96" t="e">
        <f>#REF!/Millon</f>
        <v>#REF!</v>
      </c>
      <c r="Q20" s="96" t="e">
        <f>#REF!/Millon</f>
        <v>#REF!</v>
      </c>
      <c r="R20" s="96" t="e">
        <f>#REF!/Millon</f>
        <v>#REF!</v>
      </c>
      <c r="S20" s="96" t="e">
        <f t="shared" si="4"/>
        <v>#REF!</v>
      </c>
      <c r="T20" s="167" t="e">
        <f>S20/$S$18</f>
        <v>#REF!</v>
      </c>
    </row>
    <row r="21" spans="1:20" ht="25.5" customHeight="1">
      <c r="A21" s="1118">
        <v>2</v>
      </c>
      <c r="B21" s="1119" t="s">
        <v>521</v>
      </c>
      <c r="C21" s="1077" t="e">
        <f>SUM(C22:C23)</f>
        <v>#REF!</v>
      </c>
      <c r="D21" s="1077" t="e">
        <f t="shared" ref="D21:R21" si="5">SUM(D22:D23)</f>
        <v>#REF!</v>
      </c>
      <c r="E21" s="1077" t="e">
        <f t="shared" si="5"/>
        <v>#REF!</v>
      </c>
      <c r="F21" s="1077" t="e">
        <f t="shared" si="5"/>
        <v>#REF!</v>
      </c>
      <c r="G21" s="1077" t="e">
        <f t="shared" si="5"/>
        <v>#REF!</v>
      </c>
      <c r="H21" s="1077" t="e">
        <f t="shared" si="5"/>
        <v>#REF!</v>
      </c>
      <c r="I21" s="1077" t="e">
        <f t="shared" si="5"/>
        <v>#REF!</v>
      </c>
      <c r="J21" s="1077" t="e">
        <f t="shared" si="5"/>
        <v>#REF!</v>
      </c>
      <c r="K21" s="1077" t="e">
        <f t="shared" si="5"/>
        <v>#REF!</v>
      </c>
      <c r="L21" s="1077" t="e">
        <f t="shared" si="5"/>
        <v>#REF!</v>
      </c>
      <c r="M21" s="1077" t="e">
        <f t="shared" si="5"/>
        <v>#REF!</v>
      </c>
      <c r="N21" s="1077" t="e">
        <f t="shared" si="5"/>
        <v>#REF!</v>
      </c>
      <c r="O21" s="1077" t="e">
        <f t="shared" si="5"/>
        <v>#REF!</v>
      </c>
      <c r="P21" s="1077" t="e">
        <f t="shared" si="5"/>
        <v>#REF!</v>
      </c>
      <c r="Q21" s="1077" t="e">
        <f t="shared" si="5"/>
        <v>#REF!</v>
      </c>
      <c r="R21" s="1077" t="e">
        <f t="shared" si="5"/>
        <v>#REF!</v>
      </c>
      <c r="S21" s="1077" t="e">
        <f t="shared" si="4"/>
        <v>#REF!</v>
      </c>
      <c r="T21" s="1078" t="e">
        <f>S21/$S$25</f>
        <v>#REF!</v>
      </c>
    </row>
    <row r="22" spans="1:20" ht="25.5" customHeight="1">
      <c r="A22" s="74">
        <v>2.1</v>
      </c>
      <c r="B22" s="95" t="s">
        <v>522</v>
      </c>
      <c r="C22" s="96" t="e">
        <f>#REF!/Millon</f>
        <v>#REF!</v>
      </c>
      <c r="D22" s="96" t="e">
        <f>#REF!/Millon</f>
        <v>#REF!</v>
      </c>
      <c r="E22" s="96" t="e">
        <f>#REF!/Millon</f>
        <v>#REF!</v>
      </c>
      <c r="F22" s="96" t="e">
        <f>#REF!/Millon</f>
        <v>#REF!</v>
      </c>
      <c r="G22" s="96" t="e">
        <f>#REF!/Millon</f>
        <v>#REF!</v>
      </c>
      <c r="H22" s="96" t="e">
        <f>#REF!/Millon</f>
        <v>#REF!</v>
      </c>
      <c r="I22" s="96" t="e">
        <f>#REF!/Millon</f>
        <v>#REF!</v>
      </c>
      <c r="J22" s="96" t="e">
        <f>#REF!/Millon</f>
        <v>#REF!</v>
      </c>
      <c r="K22" s="96" t="e">
        <f>#REF!/Millon</f>
        <v>#REF!</v>
      </c>
      <c r="L22" s="96" t="e">
        <f>#REF!/Millon</f>
        <v>#REF!</v>
      </c>
      <c r="M22" s="96" t="e">
        <f>#REF!/Millon</f>
        <v>#REF!</v>
      </c>
      <c r="N22" s="96" t="e">
        <f>#REF!/Millon</f>
        <v>#REF!</v>
      </c>
      <c r="O22" s="96" t="e">
        <f>#REF!/Millon</f>
        <v>#REF!</v>
      </c>
      <c r="P22" s="96" t="e">
        <f>#REF!/Millon</f>
        <v>#REF!</v>
      </c>
      <c r="Q22" s="96" t="e">
        <f>#REF!/Millon</f>
        <v>#REF!</v>
      </c>
      <c r="R22" s="96" t="e">
        <f>#REF!/Millon</f>
        <v>#REF!</v>
      </c>
      <c r="S22" s="96" t="e">
        <f t="shared" si="4"/>
        <v>#REF!</v>
      </c>
      <c r="T22" s="167" t="e">
        <f>S22/$S$21</f>
        <v>#REF!</v>
      </c>
    </row>
    <row r="23" spans="1:20" ht="25.5" customHeight="1">
      <c r="A23" s="74">
        <v>2.2000000000000002</v>
      </c>
      <c r="B23" s="95" t="s">
        <v>524</v>
      </c>
      <c r="C23" s="96" t="e">
        <f>#REF!/Millon</f>
        <v>#REF!</v>
      </c>
      <c r="D23" s="96" t="e">
        <f>#REF!/Millon</f>
        <v>#REF!</v>
      </c>
      <c r="E23" s="96" t="e">
        <f>#REF!/Millon</f>
        <v>#REF!</v>
      </c>
      <c r="F23" s="96" t="e">
        <f>#REF!/Millon</f>
        <v>#REF!</v>
      </c>
      <c r="G23" s="96" t="e">
        <f>#REF!/Millon</f>
        <v>#REF!</v>
      </c>
      <c r="H23" s="96" t="e">
        <f>#REF!/Millon</f>
        <v>#REF!</v>
      </c>
      <c r="I23" s="96" t="e">
        <f>#REF!/Millon</f>
        <v>#REF!</v>
      </c>
      <c r="J23" s="96" t="e">
        <f>#REF!/Millon</f>
        <v>#REF!</v>
      </c>
      <c r="K23" s="96" t="e">
        <f>#REF!/Millon</f>
        <v>#REF!</v>
      </c>
      <c r="L23" s="96" t="e">
        <f>#REF!/Millon</f>
        <v>#REF!</v>
      </c>
      <c r="M23" s="96" t="e">
        <f>#REF!/Millon</f>
        <v>#REF!</v>
      </c>
      <c r="N23" s="96" t="e">
        <f>#REF!/Millon</f>
        <v>#REF!</v>
      </c>
      <c r="O23" s="96" t="e">
        <f>#REF!/Millon</f>
        <v>#REF!</v>
      </c>
      <c r="P23" s="96" t="e">
        <f>#REF!/Millon</f>
        <v>#REF!</v>
      </c>
      <c r="Q23" s="96" t="e">
        <f>#REF!/Millon</f>
        <v>#REF!</v>
      </c>
      <c r="R23" s="96" t="e">
        <f>#REF!/Millon</f>
        <v>#REF!</v>
      </c>
      <c r="S23" s="96" t="e">
        <f t="shared" si="4"/>
        <v>#REF!</v>
      </c>
      <c r="T23" s="167" t="e">
        <f>S23/$S$21</f>
        <v>#REF!</v>
      </c>
    </row>
    <row r="24" spans="1:20" ht="13.5" customHeight="1">
      <c r="A24" s="41"/>
      <c r="B24" s="51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1079"/>
      <c r="S24" s="1079"/>
      <c r="T24" s="98"/>
    </row>
    <row r="25" spans="1:20" ht="25.5" customHeight="1">
      <c r="A25" s="41"/>
      <c r="B25" s="1080" t="s">
        <v>490</v>
      </c>
      <c r="C25" s="1081" t="e">
        <f>C18+C21</f>
        <v>#REF!</v>
      </c>
      <c r="D25" s="1081" t="e">
        <f t="shared" ref="D25:R25" si="6">D18+D21</f>
        <v>#REF!</v>
      </c>
      <c r="E25" s="1081" t="e">
        <f t="shared" si="6"/>
        <v>#REF!</v>
      </c>
      <c r="F25" s="1081" t="e">
        <f t="shared" si="6"/>
        <v>#REF!</v>
      </c>
      <c r="G25" s="1081" t="e">
        <f t="shared" si="6"/>
        <v>#REF!</v>
      </c>
      <c r="H25" s="1081" t="e">
        <f t="shared" si="6"/>
        <v>#REF!</v>
      </c>
      <c r="I25" s="1081" t="e">
        <f t="shared" si="6"/>
        <v>#REF!</v>
      </c>
      <c r="J25" s="1081" t="e">
        <f t="shared" si="6"/>
        <v>#REF!</v>
      </c>
      <c r="K25" s="1081" t="e">
        <f t="shared" si="6"/>
        <v>#REF!</v>
      </c>
      <c r="L25" s="1081" t="e">
        <f t="shared" si="6"/>
        <v>#REF!</v>
      </c>
      <c r="M25" s="1081" t="e">
        <f t="shared" si="6"/>
        <v>#REF!</v>
      </c>
      <c r="N25" s="1081" t="e">
        <f t="shared" si="6"/>
        <v>#REF!</v>
      </c>
      <c r="O25" s="1081" t="e">
        <f t="shared" si="6"/>
        <v>#REF!</v>
      </c>
      <c r="P25" s="1081" t="e">
        <f t="shared" si="6"/>
        <v>#REF!</v>
      </c>
      <c r="Q25" s="1081" t="e">
        <f t="shared" si="6"/>
        <v>#REF!</v>
      </c>
      <c r="R25" s="1081" t="e">
        <f t="shared" si="6"/>
        <v>#REF!</v>
      </c>
      <c r="S25" s="1081" t="e">
        <f>SUM(C25:R25)</f>
        <v>#REF!</v>
      </c>
      <c r="T25" s="1082" t="e">
        <f>T18+T21</f>
        <v>#REF!</v>
      </c>
    </row>
    <row r="26" spans="1:20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>
      <c r="A27" s="1067" t="s">
        <v>525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>
      <c r="A28" s="951" t="s">
        <v>487</v>
      </c>
      <c r="B28" s="1074" t="s">
        <v>488</v>
      </c>
      <c r="C28" s="1075" t="s">
        <v>517</v>
      </c>
      <c r="D28" s="1075"/>
      <c r="E28" s="1075"/>
      <c r="F28" s="1075"/>
      <c r="G28" s="1075"/>
      <c r="H28" s="1075"/>
      <c r="I28" s="1075"/>
      <c r="J28" s="1075"/>
      <c r="K28" s="1075"/>
      <c r="L28" s="1075"/>
      <c r="M28" s="1075"/>
      <c r="N28" s="1075"/>
      <c r="O28" s="1075"/>
      <c r="P28" s="1075"/>
      <c r="Q28" s="1075"/>
      <c r="R28" s="1075"/>
      <c r="S28" s="1074" t="s">
        <v>18</v>
      </c>
      <c r="T28" s="1074" t="s">
        <v>107</v>
      </c>
    </row>
    <row r="29" spans="1:20">
      <c r="A29" s="951"/>
      <c r="B29" s="1074"/>
      <c r="C29" s="1076" t="e">
        <f>#REF!</f>
        <v>#REF!</v>
      </c>
      <c r="D29" s="1076" t="e">
        <f>#REF!</f>
        <v>#REF!</v>
      </c>
      <c r="E29" s="1076" t="e">
        <f>#REF!</f>
        <v>#REF!</v>
      </c>
      <c r="F29" s="1076" t="e">
        <f>#REF!</f>
        <v>#REF!</v>
      </c>
      <c r="G29" s="1076" t="e">
        <f>#REF!</f>
        <v>#REF!</v>
      </c>
      <c r="H29" s="1076" t="e">
        <f>#REF!</f>
        <v>#REF!</v>
      </c>
      <c r="I29" s="1076" t="e">
        <f>#REF!</f>
        <v>#REF!</v>
      </c>
      <c r="J29" s="1076" t="e">
        <f>#REF!</f>
        <v>#REF!</v>
      </c>
      <c r="K29" s="1076" t="e">
        <f>#REF!</f>
        <v>#REF!</v>
      </c>
      <c r="L29" s="1076" t="e">
        <f>#REF!</f>
        <v>#REF!</v>
      </c>
      <c r="M29" s="1076" t="e">
        <f>#REF!</f>
        <v>#REF!</v>
      </c>
      <c r="N29" s="1076" t="e">
        <f>#REF!</f>
        <v>#REF!</v>
      </c>
      <c r="O29" s="1076" t="e">
        <f>#REF!</f>
        <v>#REF!</v>
      </c>
      <c r="P29" s="1076" t="e">
        <f>#REF!</f>
        <v>#REF!</v>
      </c>
      <c r="Q29" s="1076" t="e">
        <f>#REF!</f>
        <v>#REF!</v>
      </c>
      <c r="R29" s="1076" t="e">
        <f>#REF!</f>
        <v>#REF!</v>
      </c>
      <c r="S29" s="1074"/>
      <c r="T29" s="1074"/>
    </row>
    <row r="30" spans="1:20" ht="25.5" customHeight="1">
      <c r="A30" s="1118">
        <v>1</v>
      </c>
      <c r="B30" s="1119" t="s">
        <v>518</v>
      </c>
      <c r="C30" s="1077" t="e">
        <f t="shared" ref="C30:R30" si="7">SUM(C31:C32)</f>
        <v>#REF!</v>
      </c>
      <c r="D30" s="1077" t="e">
        <f t="shared" si="7"/>
        <v>#REF!</v>
      </c>
      <c r="E30" s="1077" t="e">
        <f t="shared" si="7"/>
        <v>#REF!</v>
      </c>
      <c r="F30" s="1077" t="e">
        <f t="shared" si="7"/>
        <v>#REF!</v>
      </c>
      <c r="G30" s="1077" t="e">
        <f t="shared" si="7"/>
        <v>#REF!</v>
      </c>
      <c r="H30" s="1077" t="e">
        <f t="shared" si="7"/>
        <v>#REF!</v>
      </c>
      <c r="I30" s="1077" t="e">
        <f t="shared" si="7"/>
        <v>#REF!</v>
      </c>
      <c r="J30" s="1077" t="e">
        <f t="shared" si="7"/>
        <v>#REF!</v>
      </c>
      <c r="K30" s="1077" t="e">
        <f t="shared" si="7"/>
        <v>#REF!</v>
      </c>
      <c r="L30" s="1077" t="e">
        <f t="shared" si="7"/>
        <v>#REF!</v>
      </c>
      <c r="M30" s="1077" t="e">
        <f t="shared" si="7"/>
        <v>#REF!</v>
      </c>
      <c r="N30" s="1077" t="e">
        <f t="shared" si="7"/>
        <v>#REF!</v>
      </c>
      <c r="O30" s="1077" t="e">
        <f t="shared" si="7"/>
        <v>#REF!</v>
      </c>
      <c r="P30" s="1077" t="e">
        <f t="shared" si="7"/>
        <v>#REF!</v>
      </c>
      <c r="Q30" s="1077" t="e">
        <f t="shared" si="7"/>
        <v>#REF!</v>
      </c>
      <c r="R30" s="1077" t="e">
        <f t="shared" si="7"/>
        <v>#REF!</v>
      </c>
      <c r="S30" s="1077" t="e">
        <f t="shared" ref="S30:S35" si="8">SUM(C30:R30)</f>
        <v>#REF!</v>
      </c>
      <c r="T30" s="1078" t="e">
        <f>S30/$S$37</f>
        <v>#REF!</v>
      </c>
    </row>
    <row r="31" spans="1:20" ht="25.5" customHeight="1">
      <c r="A31" s="74">
        <v>1.1000000000000001</v>
      </c>
      <c r="B31" s="95" t="s">
        <v>519</v>
      </c>
      <c r="C31" s="96" t="e">
        <f>C19-C8</f>
        <v>#REF!</v>
      </c>
      <c r="D31" s="96" t="e">
        <f t="shared" ref="D31:R31" si="9">D19-D8</f>
        <v>#REF!</v>
      </c>
      <c r="E31" s="96" t="e">
        <f t="shared" si="9"/>
        <v>#REF!</v>
      </c>
      <c r="F31" s="96" t="e">
        <f t="shared" si="9"/>
        <v>#REF!</v>
      </c>
      <c r="G31" s="96" t="e">
        <f t="shared" si="9"/>
        <v>#REF!</v>
      </c>
      <c r="H31" s="96" t="e">
        <f t="shared" si="9"/>
        <v>#REF!</v>
      </c>
      <c r="I31" s="96" t="e">
        <f t="shared" si="9"/>
        <v>#REF!</v>
      </c>
      <c r="J31" s="96" t="e">
        <f t="shared" si="9"/>
        <v>#REF!</v>
      </c>
      <c r="K31" s="96" t="e">
        <f t="shared" si="9"/>
        <v>#REF!</v>
      </c>
      <c r="L31" s="96" t="e">
        <f t="shared" si="9"/>
        <v>#REF!</v>
      </c>
      <c r="M31" s="96" t="e">
        <f t="shared" si="9"/>
        <v>#REF!</v>
      </c>
      <c r="N31" s="96" t="e">
        <f t="shared" si="9"/>
        <v>#REF!</v>
      </c>
      <c r="O31" s="96" t="e">
        <f t="shared" si="9"/>
        <v>#REF!</v>
      </c>
      <c r="P31" s="96" t="e">
        <f t="shared" si="9"/>
        <v>#REF!</v>
      </c>
      <c r="Q31" s="96" t="e">
        <f t="shared" si="9"/>
        <v>#REF!</v>
      </c>
      <c r="R31" s="96" t="e">
        <f t="shared" si="9"/>
        <v>#REF!</v>
      </c>
      <c r="S31" s="96" t="e">
        <f t="shared" si="8"/>
        <v>#REF!</v>
      </c>
      <c r="T31" s="167" t="e">
        <f>S31/S30</f>
        <v>#REF!</v>
      </c>
    </row>
    <row r="32" spans="1:20" ht="25.5" customHeight="1">
      <c r="A32" s="74">
        <v>1.2</v>
      </c>
      <c r="B32" s="95" t="s">
        <v>520</v>
      </c>
      <c r="C32" s="96" t="e">
        <f>C20-C9</f>
        <v>#REF!</v>
      </c>
      <c r="D32" s="96" t="e">
        <f t="shared" ref="D32:R32" si="10">D20-D9</f>
        <v>#REF!</v>
      </c>
      <c r="E32" s="96" t="e">
        <f t="shared" si="10"/>
        <v>#REF!</v>
      </c>
      <c r="F32" s="96" t="e">
        <f t="shared" si="10"/>
        <v>#REF!</v>
      </c>
      <c r="G32" s="96" t="e">
        <f t="shared" si="10"/>
        <v>#REF!</v>
      </c>
      <c r="H32" s="96" t="e">
        <f t="shared" si="10"/>
        <v>#REF!</v>
      </c>
      <c r="I32" s="96" t="e">
        <f t="shared" si="10"/>
        <v>#REF!</v>
      </c>
      <c r="J32" s="96" t="e">
        <f t="shared" si="10"/>
        <v>#REF!</v>
      </c>
      <c r="K32" s="96" t="e">
        <f t="shared" si="10"/>
        <v>#REF!</v>
      </c>
      <c r="L32" s="96" t="e">
        <f t="shared" si="10"/>
        <v>#REF!</v>
      </c>
      <c r="M32" s="96" t="e">
        <f t="shared" si="10"/>
        <v>#REF!</v>
      </c>
      <c r="N32" s="96" t="e">
        <f t="shared" si="10"/>
        <v>#REF!</v>
      </c>
      <c r="O32" s="96" t="e">
        <f t="shared" si="10"/>
        <v>#REF!</v>
      </c>
      <c r="P32" s="96" t="e">
        <f t="shared" si="10"/>
        <v>#REF!</v>
      </c>
      <c r="Q32" s="96" t="e">
        <f t="shared" si="10"/>
        <v>#REF!</v>
      </c>
      <c r="R32" s="96" t="e">
        <f t="shared" si="10"/>
        <v>#REF!</v>
      </c>
      <c r="S32" s="96" t="e">
        <f t="shared" si="8"/>
        <v>#REF!</v>
      </c>
      <c r="T32" s="167" t="e">
        <f>S32/S30</f>
        <v>#REF!</v>
      </c>
    </row>
    <row r="33" spans="1:20" ht="25.5" customHeight="1">
      <c r="A33" s="1118">
        <v>2</v>
      </c>
      <c r="B33" s="1119" t="s">
        <v>521</v>
      </c>
      <c r="C33" s="1077" t="e">
        <f t="shared" ref="C33:R33" si="11">SUM(C34:C35)</f>
        <v>#REF!</v>
      </c>
      <c r="D33" s="1077" t="e">
        <f t="shared" si="11"/>
        <v>#REF!</v>
      </c>
      <c r="E33" s="1077" t="e">
        <f t="shared" si="11"/>
        <v>#REF!</v>
      </c>
      <c r="F33" s="1077" t="e">
        <f t="shared" si="11"/>
        <v>#REF!</v>
      </c>
      <c r="G33" s="1077" t="e">
        <f t="shared" si="11"/>
        <v>#REF!</v>
      </c>
      <c r="H33" s="1077" t="e">
        <f t="shared" si="11"/>
        <v>#REF!</v>
      </c>
      <c r="I33" s="1077" t="e">
        <f t="shared" si="11"/>
        <v>#REF!</v>
      </c>
      <c r="J33" s="1077" t="e">
        <f t="shared" si="11"/>
        <v>#REF!</v>
      </c>
      <c r="K33" s="1077" t="e">
        <f t="shared" si="11"/>
        <v>#REF!</v>
      </c>
      <c r="L33" s="1077" t="e">
        <f t="shared" si="11"/>
        <v>#REF!</v>
      </c>
      <c r="M33" s="1077" t="e">
        <f t="shared" si="11"/>
        <v>#REF!</v>
      </c>
      <c r="N33" s="1077" t="e">
        <f t="shared" si="11"/>
        <v>#REF!</v>
      </c>
      <c r="O33" s="1077" t="e">
        <f t="shared" si="11"/>
        <v>#REF!</v>
      </c>
      <c r="P33" s="1077" t="e">
        <f t="shared" si="11"/>
        <v>#REF!</v>
      </c>
      <c r="Q33" s="1077" t="e">
        <f t="shared" si="11"/>
        <v>#REF!</v>
      </c>
      <c r="R33" s="1077" t="e">
        <f t="shared" si="11"/>
        <v>#REF!</v>
      </c>
      <c r="S33" s="1077" t="e">
        <f t="shared" si="8"/>
        <v>#REF!</v>
      </c>
      <c r="T33" s="1078" t="e">
        <f>S33/$S$37</f>
        <v>#REF!</v>
      </c>
    </row>
    <row r="34" spans="1:20" ht="25.5" customHeight="1">
      <c r="A34" s="74">
        <v>2.1</v>
      </c>
      <c r="B34" s="95" t="s">
        <v>522</v>
      </c>
      <c r="C34" s="96" t="e">
        <f>C22-C11</f>
        <v>#REF!</v>
      </c>
      <c r="D34" s="96" t="e">
        <f t="shared" ref="D34:R34" si="12">D22-D11</f>
        <v>#REF!</v>
      </c>
      <c r="E34" s="96" t="e">
        <f t="shared" si="12"/>
        <v>#REF!</v>
      </c>
      <c r="F34" s="96" t="e">
        <f t="shared" si="12"/>
        <v>#REF!</v>
      </c>
      <c r="G34" s="96" t="e">
        <f t="shared" si="12"/>
        <v>#REF!</v>
      </c>
      <c r="H34" s="96" t="e">
        <f t="shared" si="12"/>
        <v>#REF!</v>
      </c>
      <c r="I34" s="96" t="e">
        <f t="shared" si="12"/>
        <v>#REF!</v>
      </c>
      <c r="J34" s="96" t="e">
        <f t="shared" si="12"/>
        <v>#REF!</v>
      </c>
      <c r="K34" s="96" t="e">
        <f t="shared" si="12"/>
        <v>#REF!</v>
      </c>
      <c r="L34" s="96" t="e">
        <f t="shared" si="12"/>
        <v>#REF!</v>
      </c>
      <c r="M34" s="96" t="e">
        <f t="shared" si="12"/>
        <v>#REF!</v>
      </c>
      <c r="N34" s="96" t="e">
        <f t="shared" si="12"/>
        <v>#REF!</v>
      </c>
      <c r="O34" s="96" t="e">
        <f t="shared" si="12"/>
        <v>#REF!</v>
      </c>
      <c r="P34" s="96" t="e">
        <f t="shared" si="12"/>
        <v>#REF!</v>
      </c>
      <c r="Q34" s="96" t="e">
        <f t="shared" si="12"/>
        <v>#REF!</v>
      </c>
      <c r="R34" s="96" t="e">
        <f t="shared" si="12"/>
        <v>#REF!</v>
      </c>
      <c r="S34" s="96" t="e">
        <f t="shared" si="8"/>
        <v>#REF!</v>
      </c>
      <c r="T34" s="167"/>
    </row>
    <row r="35" spans="1:20" ht="25.5" customHeight="1">
      <c r="A35" s="74">
        <v>2.2000000000000002</v>
      </c>
      <c r="B35" s="95" t="s">
        <v>524</v>
      </c>
      <c r="C35" s="96" t="e">
        <f>C23</f>
        <v>#REF!</v>
      </c>
      <c r="D35" s="96" t="e">
        <f t="shared" ref="D35:R35" si="13">D23</f>
        <v>#REF!</v>
      </c>
      <c r="E35" s="96" t="e">
        <f t="shared" si="13"/>
        <v>#REF!</v>
      </c>
      <c r="F35" s="96" t="e">
        <f t="shared" si="13"/>
        <v>#REF!</v>
      </c>
      <c r="G35" s="96" t="e">
        <f t="shared" si="13"/>
        <v>#REF!</v>
      </c>
      <c r="H35" s="96" t="e">
        <f t="shared" si="13"/>
        <v>#REF!</v>
      </c>
      <c r="I35" s="96" t="e">
        <f t="shared" si="13"/>
        <v>#REF!</v>
      </c>
      <c r="J35" s="96" t="e">
        <f t="shared" si="13"/>
        <v>#REF!</v>
      </c>
      <c r="K35" s="96" t="e">
        <f t="shared" si="13"/>
        <v>#REF!</v>
      </c>
      <c r="L35" s="96" t="e">
        <f t="shared" si="13"/>
        <v>#REF!</v>
      </c>
      <c r="M35" s="96" t="e">
        <f t="shared" si="13"/>
        <v>#REF!</v>
      </c>
      <c r="N35" s="96" t="e">
        <f t="shared" si="13"/>
        <v>#REF!</v>
      </c>
      <c r="O35" s="96" t="e">
        <f t="shared" si="13"/>
        <v>#REF!</v>
      </c>
      <c r="P35" s="96" t="e">
        <f t="shared" si="13"/>
        <v>#REF!</v>
      </c>
      <c r="Q35" s="96" t="e">
        <f t="shared" si="13"/>
        <v>#REF!</v>
      </c>
      <c r="R35" s="96" t="e">
        <f t="shared" si="13"/>
        <v>#REF!</v>
      </c>
      <c r="S35" s="96" t="e">
        <f t="shared" si="8"/>
        <v>#REF!</v>
      </c>
      <c r="T35" s="167"/>
    </row>
    <row r="36" spans="1:20" ht="13.5" customHeight="1">
      <c r="A36" s="41"/>
      <c r="B36" s="51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1079"/>
      <c r="S36" s="1079"/>
      <c r="T36" s="98"/>
    </row>
    <row r="37" spans="1:20" ht="25.5" customHeight="1">
      <c r="A37" s="41"/>
      <c r="B37" s="1080" t="s">
        <v>490</v>
      </c>
      <c r="C37" s="1081" t="e">
        <f>C30+C33</f>
        <v>#REF!</v>
      </c>
      <c r="D37" s="1081" t="e">
        <f t="shared" ref="D37:R37" si="14">D30+D33</f>
        <v>#REF!</v>
      </c>
      <c r="E37" s="1081" t="e">
        <f t="shared" si="14"/>
        <v>#REF!</v>
      </c>
      <c r="F37" s="1081" t="e">
        <f t="shared" si="14"/>
        <v>#REF!</v>
      </c>
      <c r="G37" s="1081" t="e">
        <f t="shared" si="14"/>
        <v>#REF!</v>
      </c>
      <c r="H37" s="1081" t="e">
        <f t="shared" si="14"/>
        <v>#REF!</v>
      </c>
      <c r="I37" s="1081" t="e">
        <f t="shared" si="14"/>
        <v>#REF!</v>
      </c>
      <c r="J37" s="1081" t="e">
        <f t="shared" si="14"/>
        <v>#REF!</v>
      </c>
      <c r="K37" s="1081" t="e">
        <f t="shared" si="14"/>
        <v>#REF!</v>
      </c>
      <c r="L37" s="1081" t="e">
        <f t="shared" si="14"/>
        <v>#REF!</v>
      </c>
      <c r="M37" s="1081" t="e">
        <f t="shared" si="14"/>
        <v>#REF!</v>
      </c>
      <c r="N37" s="1081" t="e">
        <f t="shared" si="14"/>
        <v>#REF!</v>
      </c>
      <c r="O37" s="1081" t="e">
        <f t="shared" si="14"/>
        <v>#REF!</v>
      </c>
      <c r="P37" s="1081" t="e">
        <f t="shared" si="14"/>
        <v>#REF!</v>
      </c>
      <c r="Q37" s="1081" t="e">
        <f t="shared" si="14"/>
        <v>#REF!</v>
      </c>
      <c r="R37" s="1081" t="e">
        <f t="shared" si="14"/>
        <v>#REF!</v>
      </c>
      <c r="S37" s="1081" t="e">
        <f>SUM(C37:R37)</f>
        <v>#REF!</v>
      </c>
      <c r="T37" s="1082" t="e">
        <f>T30+T33</f>
        <v>#REF!</v>
      </c>
    </row>
    <row r="38" spans="1:20" ht="5.2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5.2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32.25" customHeight="1">
      <c r="A40" s="41"/>
      <c r="B40" s="1110" t="s">
        <v>526</v>
      </c>
      <c r="C40" s="1120" t="e">
        <f>NPV(TSD,D37:R37)+C37</f>
        <v>#REF!</v>
      </c>
      <c r="D40" s="1120"/>
      <c r="E40" s="1121" t="s">
        <v>527</v>
      </c>
      <c r="F40" s="1122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>
      <c r="A44" s="1067" t="s">
        <v>528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>
      <c r="A45" s="954" t="s">
        <v>487</v>
      </c>
      <c r="B45" s="992" t="s">
        <v>488</v>
      </c>
      <c r="C45" s="995" t="s">
        <v>489</v>
      </c>
      <c r="D45" s="996"/>
      <c r="E45" s="996"/>
      <c r="F45" s="996"/>
      <c r="G45" s="996"/>
      <c r="H45" s="996"/>
      <c r="I45" s="996"/>
      <c r="J45" s="996"/>
      <c r="K45" s="996"/>
      <c r="L45" s="996"/>
      <c r="M45" s="996"/>
      <c r="N45" s="996"/>
      <c r="O45" s="996"/>
      <c r="P45" s="996"/>
      <c r="Q45" s="996"/>
      <c r="R45" s="997"/>
      <c r="S45" s="992" t="s">
        <v>18</v>
      </c>
      <c r="T45" s="992" t="s">
        <v>107</v>
      </c>
    </row>
    <row r="46" spans="1:20">
      <c r="A46" s="955"/>
      <c r="B46" s="993"/>
      <c r="C46" s="1076" t="e">
        <f>#REF!</f>
        <v>#REF!</v>
      </c>
      <c r="D46" s="1076" t="e">
        <f>#REF!</f>
        <v>#REF!</v>
      </c>
      <c r="E46" s="1076" t="e">
        <f>#REF!</f>
        <v>#REF!</v>
      </c>
      <c r="F46" s="1076" t="e">
        <f>#REF!</f>
        <v>#REF!</v>
      </c>
      <c r="G46" s="1076" t="e">
        <f>#REF!</f>
        <v>#REF!</v>
      </c>
      <c r="H46" s="1076" t="e">
        <f>#REF!</f>
        <v>#REF!</v>
      </c>
      <c r="I46" s="1076" t="e">
        <f>#REF!</f>
        <v>#REF!</v>
      </c>
      <c r="J46" s="1076" t="e">
        <f>#REF!</f>
        <v>#REF!</v>
      </c>
      <c r="K46" s="1076" t="e">
        <f>#REF!</f>
        <v>#REF!</v>
      </c>
      <c r="L46" s="1076" t="e">
        <f>#REF!</f>
        <v>#REF!</v>
      </c>
      <c r="M46" s="1076" t="e">
        <f>#REF!</f>
        <v>#REF!</v>
      </c>
      <c r="N46" s="1076" t="e">
        <f>#REF!</f>
        <v>#REF!</v>
      </c>
      <c r="O46" s="1076" t="e">
        <f>#REF!</f>
        <v>#REF!</v>
      </c>
      <c r="P46" s="1076" t="e">
        <f>#REF!</f>
        <v>#REF!</v>
      </c>
      <c r="Q46" s="1076" t="e">
        <f>#REF!</f>
        <v>#REF!</v>
      </c>
      <c r="R46" s="1076" t="e">
        <f>#REF!</f>
        <v>#REF!</v>
      </c>
      <c r="S46" s="993"/>
      <c r="T46" s="993"/>
    </row>
    <row r="47" spans="1:20" ht="26.25" customHeight="1">
      <c r="A47" s="74" t="e">
        <f>#REF!</f>
        <v>#REF!</v>
      </c>
      <c r="B47" s="95" t="e">
        <f>#REF!</f>
        <v>#REF!</v>
      </c>
      <c r="C47" s="95" t="e">
        <f>#REF!/Mil</f>
        <v>#REF!</v>
      </c>
      <c r="D47" s="95" t="e">
        <f>#REF!/Mil</f>
        <v>#REF!</v>
      </c>
      <c r="E47" s="95" t="e">
        <f>#REF!/Mil</f>
        <v>#REF!</v>
      </c>
      <c r="F47" s="95" t="e">
        <f>#REF!/Mil</f>
        <v>#REF!</v>
      </c>
      <c r="G47" s="95" t="e">
        <f>#REF!/Mil</f>
        <v>#REF!</v>
      </c>
      <c r="H47" s="95" t="e">
        <f>#REF!/Mil</f>
        <v>#REF!</v>
      </c>
      <c r="I47" s="95" t="e">
        <f>#REF!/Mil</f>
        <v>#REF!</v>
      </c>
      <c r="J47" s="95" t="e">
        <f>#REF!/Mil</f>
        <v>#REF!</v>
      </c>
      <c r="K47" s="95" t="e">
        <f>#REF!/Mil</f>
        <v>#REF!</v>
      </c>
      <c r="L47" s="95" t="e">
        <f>#REF!/Mil</f>
        <v>#REF!</v>
      </c>
      <c r="M47" s="95" t="e">
        <f>#REF!/Mil</f>
        <v>#REF!</v>
      </c>
      <c r="N47" s="95" t="e">
        <f>#REF!/Mil</f>
        <v>#REF!</v>
      </c>
      <c r="O47" s="95" t="e">
        <f>#REF!/Mil</f>
        <v>#REF!</v>
      </c>
      <c r="P47" s="95" t="e">
        <f>#REF!/Mil</f>
        <v>#REF!</v>
      </c>
      <c r="Q47" s="95" t="e">
        <f>#REF!/Mil</f>
        <v>#REF!</v>
      </c>
      <c r="R47" s="95" t="e">
        <f>#REF!/Mil</f>
        <v>#REF!</v>
      </c>
      <c r="S47" s="1119" t="e">
        <f>SUM(C47:R47)</f>
        <v>#REF!</v>
      </c>
      <c r="T47" s="1078" t="e">
        <f>S47/$S$51</f>
        <v>#REF!</v>
      </c>
    </row>
    <row r="48" spans="1:20" ht="26.25" customHeight="1">
      <c r="A48" s="74" t="e">
        <f>#REF!</f>
        <v>#REF!</v>
      </c>
      <c r="B48" s="95" t="e">
        <f>#REF!</f>
        <v>#REF!</v>
      </c>
      <c r="C48" s="95" t="e">
        <f>#REF!/Mil</f>
        <v>#REF!</v>
      </c>
      <c r="D48" s="95" t="e">
        <f>#REF!/Mil</f>
        <v>#REF!</v>
      </c>
      <c r="E48" s="95" t="e">
        <f>#REF!/Mil</f>
        <v>#REF!</v>
      </c>
      <c r="F48" s="95" t="e">
        <f>#REF!/Mil</f>
        <v>#REF!</v>
      </c>
      <c r="G48" s="95" t="e">
        <f>#REF!/Mil</f>
        <v>#REF!</v>
      </c>
      <c r="H48" s="95" t="e">
        <f>#REF!/Mil</f>
        <v>#REF!</v>
      </c>
      <c r="I48" s="95" t="e">
        <f>#REF!/Mil</f>
        <v>#REF!</v>
      </c>
      <c r="J48" s="95" t="e">
        <f>#REF!/Mil</f>
        <v>#REF!</v>
      </c>
      <c r="K48" s="95" t="e">
        <f>#REF!/Mil</f>
        <v>#REF!</v>
      </c>
      <c r="L48" s="95" t="e">
        <f>#REF!/Mil</f>
        <v>#REF!</v>
      </c>
      <c r="M48" s="95" t="e">
        <f>#REF!/Mil</f>
        <v>#REF!</v>
      </c>
      <c r="N48" s="95" t="e">
        <f>#REF!/Mil</f>
        <v>#REF!</v>
      </c>
      <c r="O48" s="95" t="e">
        <f>#REF!/Mil</f>
        <v>#REF!</v>
      </c>
      <c r="P48" s="95" t="e">
        <f>#REF!/Mil</f>
        <v>#REF!</v>
      </c>
      <c r="Q48" s="95" t="e">
        <f>#REF!/Mil</f>
        <v>#REF!</v>
      </c>
      <c r="R48" s="95" t="e">
        <f>#REF!/Mil</f>
        <v>#REF!</v>
      </c>
      <c r="S48" s="1119" t="e">
        <f>SUM(C48:R48)</f>
        <v>#REF!</v>
      </c>
      <c r="T48" s="1078" t="e">
        <f>S48/$S$51</f>
        <v>#REF!</v>
      </c>
    </row>
    <row r="49" spans="1:20" ht="30.75" customHeight="1">
      <c r="A49" s="74" t="e">
        <f>#REF!</f>
        <v>#REF!</v>
      </c>
      <c r="B49" s="95" t="e">
        <f>#REF!</f>
        <v>#REF!</v>
      </c>
      <c r="C49" s="95" t="e">
        <f>#REF!/Mil</f>
        <v>#REF!</v>
      </c>
      <c r="D49" s="95" t="e">
        <f>#REF!/Mil</f>
        <v>#REF!</v>
      </c>
      <c r="E49" s="95" t="e">
        <f>#REF!/Mil</f>
        <v>#REF!</v>
      </c>
      <c r="F49" s="95" t="e">
        <f>#REF!/Mil</f>
        <v>#REF!</v>
      </c>
      <c r="G49" s="95" t="e">
        <f>#REF!/Mil</f>
        <v>#REF!</v>
      </c>
      <c r="H49" s="95" t="e">
        <f>#REF!/Mil</f>
        <v>#REF!</v>
      </c>
      <c r="I49" s="95" t="e">
        <f>#REF!/Mil</f>
        <v>#REF!</v>
      </c>
      <c r="J49" s="95" t="e">
        <f>#REF!/Mil</f>
        <v>#REF!</v>
      </c>
      <c r="K49" s="95" t="e">
        <f>#REF!/Mil</f>
        <v>#REF!</v>
      </c>
      <c r="L49" s="95" t="e">
        <f>#REF!/Mil</f>
        <v>#REF!</v>
      </c>
      <c r="M49" s="95" t="e">
        <f>#REF!/Mil</f>
        <v>#REF!</v>
      </c>
      <c r="N49" s="95" t="e">
        <f>#REF!/Mil</f>
        <v>#REF!</v>
      </c>
      <c r="O49" s="95" t="e">
        <f>#REF!/Mil</f>
        <v>#REF!</v>
      </c>
      <c r="P49" s="95" t="e">
        <f>#REF!/Mil</f>
        <v>#REF!</v>
      </c>
      <c r="Q49" s="95" t="e">
        <f>#REF!/Mil</f>
        <v>#REF!</v>
      </c>
      <c r="R49" s="95" t="e">
        <f>#REF!/Mil</f>
        <v>#REF!</v>
      </c>
      <c r="S49" s="1119" t="e">
        <f>SUM(C49:R49)</f>
        <v>#REF!</v>
      </c>
      <c r="T49" s="1078" t="e">
        <f>S49/$S$51</f>
        <v>#REF!</v>
      </c>
    </row>
    <row r="50" spans="1:20">
      <c r="A50" s="4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1123"/>
      <c r="S50" s="1123"/>
      <c r="T50" s="98"/>
    </row>
    <row r="51" spans="1:20" ht="26.25" customHeight="1">
      <c r="A51" s="41"/>
      <c r="B51" s="1080" t="s">
        <v>490</v>
      </c>
      <c r="C51" s="1124" t="e">
        <f t="shared" ref="C51:T51" si="15">SUM(C47:C49)</f>
        <v>#REF!</v>
      </c>
      <c r="D51" s="1124" t="e">
        <f t="shared" si="15"/>
        <v>#REF!</v>
      </c>
      <c r="E51" s="1124" t="e">
        <f t="shared" si="15"/>
        <v>#REF!</v>
      </c>
      <c r="F51" s="1124" t="e">
        <f t="shared" si="15"/>
        <v>#REF!</v>
      </c>
      <c r="G51" s="1124" t="e">
        <f t="shared" si="15"/>
        <v>#REF!</v>
      </c>
      <c r="H51" s="1124" t="e">
        <f t="shared" si="15"/>
        <v>#REF!</v>
      </c>
      <c r="I51" s="1124" t="e">
        <f t="shared" si="15"/>
        <v>#REF!</v>
      </c>
      <c r="J51" s="1124" t="e">
        <f t="shared" si="15"/>
        <v>#REF!</v>
      </c>
      <c r="K51" s="1124" t="e">
        <f t="shared" si="15"/>
        <v>#REF!</v>
      </c>
      <c r="L51" s="1124" t="e">
        <f t="shared" si="15"/>
        <v>#REF!</v>
      </c>
      <c r="M51" s="1124" t="e">
        <f t="shared" si="15"/>
        <v>#REF!</v>
      </c>
      <c r="N51" s="1124" t="e">
        <f t="shared" si="15"/>
        <v>#REF!</v>
      </c>
      <c r="O51" s="1124" t="e">
        <f t="shared" si="15"/>
        <v>#REF!</v>
      </c>
      <c r="P51" s="1124" t="e">
        <f t="shared" si="15"/>
        <v>#REF!</v>
      </c>
      <c r="Q51" s="1124" t="e">
        <f t="shared" si="15"/>
        <v>#REF!</v>
      </c>
      <c r="R51" s="1124" t="e">
        <f t="shared" si="15"/>
        <v>#REF!</v>
      </c>
      <c r="S51" s="1124" t="e">
        <f t="shared" si="15"/>
        <v>#REF!</v>
      </c>
      <c r="T51" s="1082" t="e">
        <f t="shared" si="15"/>
        <v>#REF!</v>
      </c>
    </row>
    <row r="54" spans="1:20">
      <c r="A54" s="760"/>
      <c r="B54" s="760"/>
      <c r="C54" s="114"/>
      <c r="D54" s="760"/>
      <c r="E54" s="760"/>
      <c r="F54" s="760"/>
      <c r="G54" s="760"/>
      <c r="H54" s="760"/>
      <c r="I54" s="760"/>
      <c r="J54" s="760"/>
      <c r="K54" s="760"/>
      <c r="L54" s="760"/>
      <c r="M54" s="760"/>
      <c r="N54" s="760"/>
      <c r="O54" s="760"/>
      <c r="P54" s="760"/>
      <c r="Q54" s="760"/>
      <c r="R54" s="760"/>
      <c r="S54" s="760"/>
      <c r="T54" s="760"/>
    </row>
  </sheetData>
  <mergeCells count="23">
    <mergeCell ref="S45:S46"/>
    <mergeCell ref="T45:T46"/>
    <mergeCell ref="A2:J2"/>
    <mergeCell ref="A45:A46"/>
    <mergeCell ref="B45:B46"/>
    <mergeCell ref="C45:R45"/>
    <mergeCell ref="A5:A6"/>
    <mergeCell ref="B5:B6"/>
    <mergeCell ref="C5:R5"/>
    <mergeCell ref="S5:S6"/>
    <mergeCell ref="T5:T6"/>
    <mergeCell ref="A16:A17"/>
    <mergeCell ref="B16:B17"/>
    <mergeCell ref="C16:R16"/>
    <mergeCell ref="S16:S17"/>
    <mergeCell ref="T16:T17"/>
    <mergeCell ref="T28:T29"/>
    <mergeCell ref="C40:D40"/>
    <mergeCell ref="E40:F40"/>
    <mergeCell ref="A28:A29"/>
    <mergeCell ref="B28:B29"/>
    <mergeCell ref="C28:R28"/>
    <mergeCell ref="S28:S29"/>
  </mergeCells>
  <phoneticPr fontId="2" type="noConversion"/>
  <pageMargins left="0.75" right="0.75" top="1" bottom="1" header="0" footer="0"/>
  <pageSetup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40"/>
  <dimension ref="A1:T55"/>
  <sheetViews>
    <sheetView topLeftCell="A22" workbookViewId="0">
      <selection activeCell="A28" sqref="A28:S37"/>
    </sheetView>
  </sheetViews>
  <sheetFormatPr defaultColWidth="10.7109375" defaultRowHeight="13.15"/>
  <cols>
    <col min="1" max="1" width="6.7109375" customWidth="1"/>
    <col min="2" max="2" width="28.140625" customWidth="1"/>
    <col min="3" max="18" width="7.28515625" customWidth="1"/>
    <col min="19" max="20" width="8.7109375" customWidth="1"/>
  </cols>
  <sheetData>
    <row r="1" spans="1:2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7.45">
      <c r="A2" s="952" t="e">
        <f>"RESUMEN DE COSTOS DE O/M INCREMENTAL "&amp;CHOOSE(Te,"(Precios Privados)","(Precios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1067" t="s">
        <v>516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>
      <c r="A5" s="951" t="s">
        <v>487</v>
      </c>
      <c r="B5" s="1074" t="s">
        <v>488</v>
      </c>
      <c r="C5" s="1075" t="s">
        <v>517</v>
      </c>
      <c r="D5" s="1075"/>
      <c r="E5" s="1075"/>
      <c r="F5" s="1075"/>
      <c r="G5" s="1075"/>
      <c r="H5" s="1075"/>
      <c r="I5" s="1075"/>
      <c r="J5" s="1075"/>
      <c r="K5" s="1075"/>
      <c r="L5" s="1075"/>
      <c r="M5" s="1075"/>
      <c r="N5" s="1075"/>
      <c r="O5" s="1075"/>
      <c r="P5" s="1075"/>
      <c r="Q5" s="1075"/>
      <c r="R5" s="1075"/>
      <c r="S5" s="1074" t="s">
        <v>18</v>
      </c>
      <c r="T5" s="1074" t="s">
        <v>107</v>
      </c>
    </row>
    <row r="6" spans="1:20">
      <c r="A6" s="951"/>
      <c r="B6" s="1074"/>
      <c r="C6" s="1076" t="e">
        <f>#REF!</f>
        <v>#REF!</v>
      </c>
      <c r="D6" s="1076" t="e">
        <f>#REF!</f>
        <v>#REF!</v>
      </c>
      <c r="E6" s="1076" t="e">
        <f>#REF!</f>
        <v>#REF!</v>
      </c>
      <c r="F6" s="1076" t="e">
        <f>#REF!</f>
        <v>#REF!</v>
      </c>
      <c r="G6" s="1076" t="e">
        <f>#REF!</f>
        <v>#REF!</v>
      </c>
      <c r="H6" s="1076" t="e">
        <f>#REF!</f>
        <v>#REF!</v>
      </c>
      <c r="I6" s="1076" t="e">
        <f>#REF!</f>
        <v>#REF!</v>
      </c>
      <c r="J6" s="1076" t="e">
        <f>#REF!</f>
        <v>#REF!</v>
      </c>
      <c r="K6" s="1076" t="e">
        <f>#REF!</f>
        <v>#REF!</v>
      </c>
      <c r="L6" s="1076" t="e">
        <f>#REF!</f>
        <v>#REF!</v>
      </c>
      <c r="M6" s="1076" t="e">
        <f>#REF!</f>
        <v>#REF!</v>
      </c>
      <c r="N6" s="1076" t="e">
        <f>#REF!</f>
        <v>#REF!</v>
      </c>
      <c r="O6" s="1076" t="e">
        <f>#REF!</f>
        <v>#REF!</v>
      </c>
      <c r="P6" s="1076" t="e">
        <f>#REF!</f>
        <v>#REF!</v>
      </c>
      <c r="Q6" s="1076" t="e">
        <f>#REF!</f>
        <v>#REF!</v>
      </c>
      <c r="R6" s="1076" t="e">
        <f>#REF!</f>
        <v>#REF!</v>
      </c>
      <c r="S6" s="1074"/>
      <c r="T6" s="1074"/>
    </row>
    <row r="7" spans="1:20" ht="25.5" customHeight="1">
      <c r="A7" s="1118">
        <v>1</v>
      </c>
      <c r="B7" s="1119" t="s">
        <v>518</v>
      </c>
      <c r="C7" s="1077" t="e">
        <f t="shared" ref="C7:R7" si="0">SUM(C8:C9)</f>
        <v>#REF!</v>
      </c>
      <c r="D7" s="1077" t="e">
        <f t="shared" si="0"/>
        <v>#REF!</v>
      </c>
      <c r="E7" s="1077" t="e">
        <f t="shared" si="0"/>
        <v>#REF!</v>
      </c>
      <c r="F7" s="1077" t="e">
        <f t="shared" si="0"/>
        <v>#REF!</v>
      </c>
      <c r="G7" s="1077" t="e">
        <f t="shared" si="0"/>
        <v>#REF!</v>
      </c>
      <c r="H7" s="1077" t="e">
        <f t="shared" si="0"/>
        <v>#REF!</v>
      </c>
      <c r="I7" s="1077" t="e">
        <f t="shared" si="0"/>
        <v>#REF!</v>
      </c>
      <c r="J7" s="1077" t="e">
        <f t="shared" si="0"/>
        <v>#REF!</v>
      </c>
      <c r="K7" s="1077" t="e">
        <f t="shared" si="0"/>
        <v>#REF!</v>
      </c>
      <c r="L7" s="1077" t="e">
        <f t="shared" si="0"/>
        <v>#REF!</v>
      </c>
      <c r="M7" s="1077" t="e">
        <f t="shared" si="0"/>
        <v>#REF!</v>
      </c>
      <c r="N7" s="1077" t="e">
        <f t="shared" si="0"/>
        <v>#REF!</v>
      </c>
      <c r="O7" s="1077" t="e">
        <f t="shared" si="0"/>
        <v>#REF!</v>
      </c>
      <c r="P7" s="1077" t="e">
        <f t="shared" si="0"/>
        <v>#REF!</v>
      </c>
      <c r="Q7" s="1077" t="e">
        <f t="shared" si="0"/>
        <v>#REF!</v>
      </c>
      <c r="R7" s="1077" t="e">
        <f t="shared" si="0"/>
        <v>#REF!</v>
      </c>
      <c r="S7" s="1077" t="e">
        <f>SUM(C7:R7)</f>
        <v>#REF!</v>
      </c>
      <c r="T7" s="1078" t="e">
        <f>S7/$S$13</f>
        <v>#REF!</v>
      </c>
    </row>
    <row r="8" spans="1:20" ht="25.5" customHeight="1">
      <c r="A8" s="74">
        <v>1.1000000000000001</v>
      </c>
      <c r="B8" s="95" t="s">
        <v>519</v>
      </c>
      <c r="C8" s="96" t="e">
        <f>#REF!/Millon</f>
        <v>#REF!</v>
      </c>
      <c r="D8" s="96" t="e">
        <f>#REF!/Millon</f>
        <v>#REF!</v>
      </c>
      <c r="E8" s="96" t="e">
        <f>#REF!/Millon</f>
        <v>#REF!</v>
      </c>
      <c r="F8" s="96" t="e">
        <f>#REF!/Millon</f>
        <v>#REF!</v>
      </c>
      <c r="G8" s="96" t="e">
        <f>#REF!/Millon</f>
        <v>#REF!</v>
      </c>
      <c r="H8" s="96" t="e">
        <f>#REF!/Millon</f>
        <v>#REF!</v>
      </c>
      <c r="I8" s="96" t="e">
        <f>#REF!/Millon</f>
        <v>#REF!</v>
      </c>
      <c r="J8" s="96" t="e">
        <f>#REF!/Millon</f>
        <v>#REF!</v>
      </c>
      <c r="K8" s="96" t="e">
        <f>#REF!/Millon</f>
        <v>#REF!</v>
      </c>
      <c r="L8" s="96" t="e">
        <f>#REF!/Millon</f>
        <v>#REF!</v>
      </c>
      <c r="M8" s="96" t="e">
        <f>#REF!/Millon</f>
        <v>#REF!</v>
      </c>
      <c r="N8" s="96" t="e">
        <f>#REF!/Millon</f>
        <v>#REF!</v>
      </c>
      <c r="O8" s="96" t="e">
        <f>#REF!/Millon</f>
        <v>#REF!</v>
      </c>
      <c r="P8" s="96" t="e">
        <f>#REF!/Millon</f>
        <v>#REF!</v>
      </c>
      <c r="Q8" s="96" t="e">
        <f>#REF!/Millon</f>
        <v>#REF!</v>
      </c>
      <c r="R8" s="96" t="e">
        <f>#REF!/Millon</f>
        <v>#REF!</v>
      </c>
      <c r="S8" s="96" t="e">
        <f>SUM(C8:R8)</f>
        <v>#REF!</v>
      </c>
      <c r="T8" s="167" t="e">
        <f>S8/$S$7</f>
        <v>#REF!</v>
      </c>
    </row>
    <row r="9" spans="1:20" ht="25.5" customHeight="1">
      <c r="A9" s="74">
        <v>1.2</v>
      </c>
      <c r="B9" s="95" t="s">
        <v>520</v>
      </c>
      <c r="C9" s="96" t="e">
        <f>#REF!/Millon</f>
        <v>#REF!</v>
      </c>
      <c r="D9" s="96" t="e">
        <f>#REF!/Millon</f>
        <v>#REF!</v>
      </c>
      <c r="E9" s="96" t="e">
        <f>#REF!/Millon</f>
        <v>#REF!</v>
      </c>
      <c r="F9" s="96" t="e">
        <f>#REF!/Millon</f>
        <v>#REF!</v>
      </c>
      <c r="G9" s="96" t="e">
        <f>#REF!/Millon</f>
        <v>#REF!</v>
      </c>
      <c r="H9" s="96" t="e">
        <f>#REF!/Millon</f>
        <v>#REF!</v>
      </c>
      <c r="I9" s="96" t="e">
        <f>#REF!/Millon</f>
        <v>#REF!</v>
      </c>
      <c r="J9" s="96" t="e">
        <f>#REF!/Millon</f>
        <v>#REF!</v>
      </c>
      <c r="K9" s="96" t="e">
        <f>#REF!/Millon</f>
        <v>#REF!</v>
      </c>
      <c r="L9" s="96" t="e">
        <f>#REF!/Millon</f>
        <v>#REF!</v>
      </c>
      <c r="M9" s="96" t="e">
        <f>#REF!/Millon</f>
        <v>#REF!</v>
      </c>
      <c r="N9" s="96" t="e">
        <f>#REF!/Millon</f>
        <v>#REF!</v>
      </c>
      <c r="O9" s="96" t="e">
        <f>#REF!/Millon</f>
        <v>#REF!</v>
      </c>
      <c r="P9" s="96" t="e">
        <f>#REF!/Millon</f>
        <v>#REF!</v>
      </c>
      <c r="Q9" s="96" t="e">
        <f>#REF!/Millon</f>
        <v>#REF!</v>
      </c>
      <c r="R9" s="96" t="e">
        <f>#REF!/Millon</f>
        <v>#REF!</v>
      </c>
      <c r="S9" s="96" t="e">
        <f>SUM(C9:R9)</f>
        <v>#REF!</v>
      </c>
      <c r="T9" s="167" t="e">
        <f>S9/$S$7</f>
        <v>#REF!</v>
      </c>
    </row>
    <row r="10" spans="1:20" ht="25.5" customHeight="1">
      <c r="A10" s="1118">
        <v>2</v>
      </c>
      <c r="B10" s="1119" t="s">
        <v>521</v>
      </c>
      <c r="C10" s="1077" t="e">
        <f t="shared" ref="C10:R10" si="1">SUM(C11)</f>
        <v>#REF!</v>
      </c>
      <c r="D10" s="1077" t="e">
        <f t="shared" si="1"/>
        <v>#REF!</v>
      </c>
      <c r="E10" s="1077" t="e">
        <f t="shared" si="1"/>
        <v>#REF!</v>
      </c>
      <c r="F10" s="1077" t="e">
        <f t="shared" si="1"/>
        <v>#REF!</v>
      </c>
      <c r="G10" s="1077" t="e">
        <f t="shared" si="1"/>
        <v>#REF!</v>
      </c>
      <c r="H10" s="1077" t="e">
        <f t="shared" si="1"/>
        <v>#REF!</v>
      </c>
      <c r="I10" s="1077" t="e">
        <f t="shared" si="1"/>
        <v>#REF!</v>
      </c>
      <c r="J10" s="1077" t="e">
        <f t="shared" si="1"/>
        <v>#REF!</v>
      </c>
      <c r="K10" s="1077" t="e">
        <f t="shared" si="1"/>
        <v>#REF!</v>
      </c>
      <c r="L10" s="1077" t="e">
        <f t="shared" si="1"/>
        <v>#REF!</v>
      </c>
      <c r="M10" s="1077" t="e">
        <f t="shared" si="1"/>
        <v>#REF!</v>
      </c>
      <c r="N10" s="1077" t="e">
        <f t="shared" si="1"/>
        <v>#REF!</v>
      </c>
      <c r="O10" s="1077" t="e">
        <f t="shared" si="1"/>
        <v>#REF!</v>
      </c>
      <c r="P10" s="1077" t="e">
        <f t="shared" si="1"/>
        <v>#REF!</v>
      </c>
      <c r="Q10" s="1077" t="e">
        <f t="shared" si="1"/>
        <v>#REF!</v>
      </c>
      <c r="R10" s="1077" t="e">
        <f t="shared" si="1"/>
        <v>#REF!</v>
      </c>
      <c r="S10" s="1077" t="e">
        <f>SUM(C10:R10)</f>
        <v>#REF!</v>
      </c>
      <c r="T10" s="1078" t="e">
        <f>S10/$S$13</f>
        <v>#REF!</v>
      </c>
    </row>
    <row r="11" spans="1:20" ht="25.5" customHeight="1">
      <c r="A11" s="74">
        <v>2.1</v>
      </c>
      <c r="B11" s="95" t="s">
        <v>522</v>
      </c>
      <c r="C11" s="96" t="e">
        <f>#REF!/Millon</f>
        <v>#REF!</v>
      </c>
      <c r="D11" s="96" t="e">
        <f>#REF!/Millon</f>
        <v>#REF!</v>
      </c>
      <c r="E11" s="96" t="e">
        <f>#REF!/Millon</f>
        <v>#REF!</v>
      </c>
      <c r="F11" s="96" t="e">
        <f>#REF!/Millon</f>
        <v>#REF!</v>
      </c>
      <c r="G11" s="96" t="e">
        <f>#REF!/Millon</f>
        <v>#REF!</v>
      </c>
      <c r="H11" s="96" t="e">
        <f>#REF!/Millon</f>
        <v>#REF!</v>
      </c>
      <c r="I11" s="96" t="e">
        <f>#REF!/Millon</f>
        <v>#REF!</v>
      </c>
      <c r="J11" s="96" t="e">
        <f>#REF!/Millon</f>
        <v>#REF!</v>
      </c>
      <c r="K11" s="96" t="e">
        <f>#REF!/Millon</f>
        <v>#REF!</v>
      </c>
      <c r="L11" s="96" t="e">
        <f>#REF!/Millon</f>
        <v>#REF!</v>
      </c>
      <c r="M11" s="96" t="e">
        <f>#REF!/Millon</f>
        <v>#REF!</v>
      </c>
      <c r="N11" s="96" t="e">
        <f>#REF!/Millon</f>
        <v>#REF!</v>
      </c>
      <c r="O11" s="96" t="e">
        <f>#REF!/Millon</f>
        <v>#REF!</v>
      </c>
      <c r="P11" s="96" t="e">
        <f>#REF!/Millon</f>
        <v>#REF!</v>
      </c>
      <c r="Q11" s="96" t="e">
        <f>#REF!/Millon</f>
        <v>#REF!</v>
      </c>
      <c r="R11" s="96" t="e">
        <f>#REF!/Millon</f>
        <v>#REF!</v>
      </c>
      <c r="S11" s="96" t="e">
        <f>SUM(C11:R11)</f>
        <v>#REF!</v>
      </c>
      <c r="T11" s="167" t="e">
        <f>S11/S10</f>
        <v>#REF!</v>
      </c>
    </row>
    <row r="12" spans="1:20" ht="13.5" customHeight="1">
      <c r="A12" s="41"/>
      <c r="B12" s="51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1079"/>
      <c r="S12" s="1079"/>
      <c r="T12" s="98"/>
    </row>
    <row r="13" spans="1:20" ht="25.5" customHeight="1">
      <c r="A13" s="41"/>
      <c r="B13" s="1080" t="s">
        <v>490</v>
      </c>
      <c r="C13" s="1081" t="e">
        <f t="shared" ref="C13:R13" si="2">C7+C10</f>
        <v>#REF!</v>
      </c>
      <c r="D13" s="1081" t="e">
        <f t="shared" si="2"/>
        <v>#REF!</v>
      </c>
      <c r="E13" s="1081" t="e">
        <f t="shared" si="2"/>
        <v>#REF!</v>
      </c>
      <c r="F13" s="1081" t="e">
        <f t="shared" si="2"/>
        <v>#REF!</v>
      </c>
      <c r="G13" s="1081" t="e">
        <f t="shared" si="2"/>
        <v>#REF!</v>
      </c>
      <c r="H13" s="1081" t="e">
        <f t="shared" si="2"/>
        <v>#REF!</v>
      </c>
      <c r="I13" s="1081" t="e">
        <f t="shared" si="2"/>
        <v>#REF!</v>
      </c>
      <c r="J13" s="1081" t="e">
        <f t="shared" si="2"/>
        <v>#REF!</v>
      </c>
      <c r="K13" s="1081" t="e">
        <f t="shared" si="2"/>
        <v>#REF!</v>
      </c>
      <c r="L13" s="1081" t="e">
        <f t="shared" si="2"/>
        <v>#REF!</v>
      </c>
      <c r="M13" s="1081" t="e">
        <f t="shared" si="2"/>
        <v>#REF!</v>
      </c>
      <c r="N13" s="1081" t="e">
        <f t="shared" si="2"/>
        <v>#REF!</v>
      </c>
      <c r="O13" s="1081" t="e">
        <f t="shared" si="2"/>
        <v>#REF!</v>
      </c>
      <c r="P13" s="1081" t="e">
        <f t="shared" si="2"/>
        <v>#REF!</v>
      </c>
      <c r="Q13" s="1081" t="e">
        <f t="shared" si="2"/>
        <v>#REF!</v>
      </c>
      <c r="R13" s="1081" t="e">
        <f t="shared" si="2"/>
        <v>#REF!</v>
      </c>
      <c r="S13" s="1081" t="e">
        <f>SUM(C13:R13)</f>
        <v>#REF!</v>
      </c>
      <c r="T13" s="1082" t="e">
        <f>T7+T10</f>
        <v>#REF!</v>
      </c>
    </row>
    <row r="14" spans="1:20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>
      <c r="A15" s="1067" t="s">
        <v>523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>
      <c r="A16" s="951" t="s">
        <v>487</v>
      </c>
      <c r="B16" s="1074" t="s">
        <v>488</v>
      </c>
      <c r="C16" s="1075" t="s">
        <v>517</v>
      </c>
      <c r="D16" s="1075"/>
      <c r="E16" s="1075"/>
      <c r="F16" s="1075"/>
      <c r="G16" s="1075"/>
      <c r="H16" s="1075"/>
      <c r="I16" s="1075"/>
      <c r="J16" s="1075"/>
      <c r="K16" s="1075"/>
      <c r="L16" s="1075"/>
      <c r="M16" s="1075"/>
      <c r="N16" s="1075"/>
      <c r="O16" s="1075"/>
      <c r="P16" s="1075"/>
      <c r="Q16" s="1075"/>
      <c r="R16" s="1075"/>
      <c r="S16" s="1074" t="s">
        <v>18</v>
      </c>
      <c r="T16" s="1074" t="s">
        <v>107</v>
      </c>
    </row>
    <row r="17" spans="1:20">
      <c r="A17" s="951"/>
      <c r="B17" s="1074"/>
      <c r="C17" s="1076" t="e">
        <f>#REF!</f>
        <v>#REF!</v>
      </c>
      <c r="D17" s="1076" t="e">
        <f>#REF!</f>
        <v>#REF!</v>
      </c>
      <c r="E17" s="1076" t="e">
        <f>#REF!</f>
        <v>#REF!</v>
      </c>
      <c r="F17" s="1076" t="e">
        <f>#REF!</f>
        <v>#REF!</v>
      </c>
      <c r="G17" s="1076" t="e">
        <f>#REF!</f>
        <v>#REF!</v>
      </c>
      <c r="H17" s="1076" t="e">
        <f>#REF!</f>
        <v>#REF!</v>
      </c>
      <c r="I17" s="1076" t="e">
        <f>#REF!</f>
        <v>#REF!</v>
      </c>
      <c r="J17" s="1076" t="e">
        <f>#REF!</f>
        <v>#REF!</v>
      </c>
      <c r="K17" s="1076" t="e">
        <f>#REF!</f>
        <v>#REF!</v>
      </c>
      <c r="L17" s="1076" t="e">
        <f>#REF!</f>
        <v>#REF!</v>
      </c>
      <c r="M17" s="1076" t="e">
        <f>#REF!</f>
        <v>#REF!</v>
      </c>
      <c r="N17" s="1076" t="e">
        <f>#REF!</f>
        <v>#REF!</v>
      </c>
      <c r="O17" s="1076" t="e">
        <f>#REF!</f>
        <v>#REF!</v>
      </c>
      <c r="P17" s="1076" t="e">
        <f>#REF!</f>
        <v>#REF!</v>
      </c>
      <c r="Q17" s="1076" t="e">
        <f>#REF!</f>
        <v>#REF!</v>
      </c>
      <c r="R17" s="1076" t="e">
        <f>#REF!</f>
        <v>#REF!</v>
      </c>
      <c r="S17" s="1074"/>
      <c r="T17" s="1074"/>
    </row>
    <row r="18" spans="1:20" ht="25.5" customHeight="1">
      <c r="A18" s="1118">
        <v>1</v>
      </c>
      <c r="B18" s="1119" t="s">
        <v>518</v>
      </c>
      <c r="C18" s="1077" t="e">
        <f t="shared" ref="C18:R18" si="3">SUM(C19:C20)</f>
        <v>#REF!</v>
      </c>
      <c r="D18" s="1077" t="e">
        <f t="shared" si="3"/>
        <v>#REF!</v>
      </c>
      <c r="E18" s="1077" t="e">
        <f t="shared" si="3"/>
        <v>#REF!</v>
      </c>
      <c r="F18" s="1077" t="e">
        <f t="shared" si="3"/>
        <v>#REF!</v>
      </c>
      <c r="G18" s="1077" t="e">
        <f t="shared" si="3"/>
        <v>#REF!</v>
      </c>
      <c r="H18" s="1077" t="e">
        <f t="shared" si="3"/>
        <v>#REF!</v>
      </c>
      <c r="I18" s="1077" t="e">
        <f t="shared" si="3"/>
        <v>#REF!</v>
      </c>
      <c r="J18" s="1077" t="e">
        <f t="shared" si="3"/>
        <v>#REF!</v>
      </c>
      <c r="K18" s="1077" t="e">
        <f t="shared" si="3"/>
        <v>#REF!</v>
      </c>
      <c r="L18" s="1077" t="e">
        <f t="shared" si="3"/>
        <v>#REF!</v>
      </c>
      <c r="M18" s="1077" t="e">
        <f t="shared" si="3"/>
        <v>#REF!</v>
      </c>
      <c r="N18" s="1077" t="e">
        <f t="shared" si="3"/>
        <v>#REF!</v>
      </c>
      <c r="O18" s="1077" t="e">
        <f t="shared" si="3"/>
        <v>#REF!</v>
      </c>
      <c r="P18" s="1077" t="e">
        <f t="shared" si="3"/>
        <v>#REF!</v>
      </c>
      <c r="Q18" s="1077" t="e">
        <f t="shared" si="3"/>
        <v>#REF!</v>
      </c>
      <c r="R18" s="1077" t="e">
        <f t="shared" si="3"/>
        <v>#REF!</v>
      </c>
      <c r="S18" s="1077" t="e">
        <f t="shared" ref="S18:S23" si="4">SUM(C18:R18)</f>
        <v>#REF!</v>
      </c>
      <c r="T18" s="1078" t="e">
        <f>S18/$S$25</f>
        <v>#REF!</v>
      </c>
    </row>
    <row r="19" spans="1:20" ht="25.5" customHeight="1">
      <c r="A19" s="74">
        <v>1.1000000000000001</v>
      </c>
      <c r="B19" s="95" t="s">
        <v>519</v>
      </c>
      <c r="C19" s="96" t="e">
        <f>#REF!/Millon</f>
        <v>#REF!</v>
      </c>
      <c r="D19" s="96" t="e">
        <f>#REF!/Millon</f>
        <v>#REF!</v>
      </c>
      <c r="E19" s="96" t="e">
        <f>#REF!/Millon</f>
        <v>#REF!</v>
      </c>
      <c r="F19" s="96" t="e">
        <f>#REF!/Millon</f>
        <v>#REF!</v>
      </c>
      <c r="G19" s="96" t="e">
        <f>#REF!/Millon</f>
        <v>#REF!</v>
      </c>
      <c r="H19" s="96" t="e">
        <f>#REF!/Millon</f>
        <v>#REF!</v>
      </c>
      <c r="I19" s="96" t="e">
        <f>#REF!/Millon</f>
        <v>#REF!</v>
      </c>
      <c r="J19" s="96" t="e">
        <f>#REF!/Millon</f>
        <v>#REF!</v>
      </c>
      <c r="K19" s="96" t="e">
        <f>#REF!/Millon</f>
        <v>#REF!</v>
      </c>
      <c r="L19" s="96" t="e">
        <f>#REF!/Millon</f>
        <v>#REF!</v>
      </c>
      <c r="M19" s="96" t="e">
        <f>#REF!/Millon</f>
        <v>#REF!</v>
      </c>
      <c r="N19" s="96" t="e">
        <f>#REF!/Millon</f>
        <v>#REF!</v>
      </c>
      <c r="O19" s="96" t="e">
        <f>#REF!/Millon</f>
        <v>#REF!</v>
      </c>
      <c r="P19" s="96" t="e">
        <f>#REF!/Millon</f>
        <v>#REF!</v>
      </c>
      <c r="Q19" s="96" t="e">
        <f>#REF!/Millon</f>
        <v>#REF!</v>
      </c>
      <c r="R19" s="96" t="e">
        <f>#REF!/Millon</f>
        <v>#REF!</v>
      </c>
      <c r="S19" s="96" t="e">
        <f t="shared" si="4"/>
        <v>#REF!</v>
      </c>
      <c r="T19" s="167" t="e">
        <f>S19/$S$18</f>
        <v>#REF!</v>
      </c>
    </row>
    <row r="20" spans="1:20" ht="25.5" customHeight="1">
      <c r="A20" s="74">
        <v>1.2</v>
      </c>
      <c r="B20" s="95" t="s">
        <v>520</v>
      </c>
      <c r="C20" s="96" t="e">
        <f>#REF!/Millon</f>
        <v>#REF!</v>
      </c>
      <c r="D20" s="96" t="e">
        <f>#REF!/Millon</f>
        <v>#REF!</v>
      </c>
      <c r="E20" s="96" t="e">
        <f>#REF!/Millon</f>
        <v>#REF!</v>
      </c>
      <c r="F20" s="96" t="e">
        <f>#REF!/Millon</f>
        <v>#REF!</v>
      </c>
      <c r="G20" s="96" t="e">
        <f>#REF!/Millon</f>
        <v>#REF!</v>
      </c>
      <c r="H20" s="96" t="e">
        <f>#REF!/Millon</f>
        <v>#REF!</v>
      </c>
      <c r="I20" s="96" t="e">
        <f>#REF!/Millon</f>
        <v>#REF!</v>
      </c>
      <c r="J20" s="96" t="e">
        <f>#REF!/Millon</f>
        <v>#REF!</v>
      </c>
      <c r="K20" s="96" t="e">
        <f>#REF!/Millon</f>
        <v>#REF!</v>
      </c>
      <c r="L20" s="96" t="e">
        <f>#REF!/Millon</f>
        <v>#REF!</v>
      </c>
      <c r="M20" s="96" t="e">
        <f>#REF!/Millon</f>
        <v>#REF!</v>
      </c>
      <c r="N20" s="96" t="e">
        <f>#REF!/Millon</f>
        <v>#REF!</v>
      </c>
      <c r="O20" s="96" t="e">
        <f>#REF!/Millon</f>
        <v>#REF!</v>
      </c>
      <c r="P20" s="96" t="e">
        <f>#REF!/Millon</f>
        <v>#REF!</v>
      </c>
      <c r="Q20" s="96" t="e">
        <f>#REF!/Millon</f>
        <v>#REF!</v>
      </c>
      <c r="R20" s="96" t="e">
        <f>#REF!/Millon</f>
        <v>#REF!</v>
      </c>
      <c r="S20" s="96" t="e">
        <f t="shared" si="4"/>
        <v>#REF!</v>
      </c>
      <c r="T20" s="167" t="e">
        <f>S20/$S$18</f>
        <v>#REF!</v>
      </c>
    </row>
    <row r="21" spans="1:20" ht="25.5" customHeight="1">
      <c r="A21" s="1118">
        <v>2</v>
      </c>
      <c r="B21" s="1119" t="s">
        <v>521</v>
      </c>
      <c r="C21" s="1077" t="e">
        <f t="shared" ref="C21:R21" si="5">SUM(C22:C23)</f>
        <v>#REF!</v>
      </c>
      <c r="D21" s="1077" t="e">
        <f t="shared" si="5"/>
        <v>#REF!</v>
      </c>
      <c r="E21" s="1077" t="e">
        <f t="shared" si="5"/>
        <v>#REF!</v>
      </c>
      <c r="F21" s="1077" t="e">
        <f t="shared" si="5"/>
        <v>#REF!</v>
      </c>
      <c r="G21" s="1077" t="e">
        <f t="shared" si="5"/>
        <v>#REF!</v>
      </c>
      <c r="H21" s="1077" t="e">
        <f t="shared" si="5"/>
        <v>#REF!</v>
      </c>
      <c r="I21" s="1077" t="e">
        <f t="shared" si="5"/>
        <v>#REF!</v>
      </c>
      <c r="J21" s="1077" t="e">
        <f t="shared" si="5"/>
        <v>#REF!</v>
      </c>
      <c r="K21" s="1077" t="e">
        <f t="shared" si="5"/>
        <v>#REF!</v>
      </c>
      <c r="L21" s="1077" t="e">
        <f t="shared" si="5"/>
        <v>#REF!</v>
      </c>
      <c r="M21" s="1077" t="e">
        <f t="shared" si="5"/>
        <v>#REF!</v>
      </c>
      <c r="N21" s="1077" t="e">
        <f t="shared" si="5"/>
        <v>#REF!</v>
      </c>
      <c r="O21" s="1077" t="e">
        <f t="shared" si="5"/>
        <v>#REF!</v>
      </c>
      <c r="P21" s="1077" t="e">
        <f t="shared" si="5"/>
        <v>#REF!</v>
      </c>
      <c r="Q21" s="1077" t="e">
        <f t="shared" si="5"/>
        <v>#REF!</v>
      </c>
      <c r="R21" s="1077" t="e">
        <f t="shared" si="5"/>
        <v>#REF!</v>
      </c>
      <c r="S21" s="1077" t="e">
        <f t="shared" si="4"/>
        <v>#REF!</v>
      </c>
      <c r="T21" s="1078" t="e">
        <f>S21/$S$25</f>
        <v>#REF!</v>
      </c>
    </row>
    <row r="22" spans="1:20" ht="25.5" customHeight="1">
      <c r="A22" s="74">
        <v>2.1</v>
      </c>
      <c r="B22" s="95" t="s">
        <v>522</v>
      </c>
      <c r="C22" s="96" t="e">
        <f>#REF!/Millon</f>
        <v>#REF!</v>
      </c>
      <c r="D22" s="96" t="e">
        <f>#REF!/Millon</f>
        <v>#REF!</v>
      </c>
      <c r="E22" s="96" t="e">
        <f>#REF!/Millon</f>
        <v>#REF!</v>
      </c>
      <c r="F22" s="96" t="e">
        <f>#REF!/Millon</f>
        <v>#REF!</v>
      </c>
      <c r="G22" s="96" t="e">
        <f>#REF!/Millon</f>
        <v>#REF!</v>
      </c>
      <c r="H22" s="96" t="e">
        <f>#REF!/Millon</f>
        <v>#REF!</v>
      </c>
      <c r="I22" s="96" t="e">
        <f>#REF!/Millon</f>
        <v>#REF!</v>
      </c>
      <c r="J22" s="96" t="e">
        <f>#REF!/Millon</f>
        <v>#REF!</v>
      </c>
      <c r="K22" s="96" t="e">
        <f>#REF!/Millon</f>
        <v>#REF!</v>
      </c>
      <c r="L22" s="96" t="e">
        <f>#REF!/Millon</f>
        <v>#REF!</v>
      </c>
      <c r="M22" s="96" t="e">
        <f>#REF!/Millon</f>
        <v>#REF!</v>
      </c>
      <c r="N22" s="96" t="e">
        <f>#REF!/Millon</f>
        <v>#REF!</v>
      </c>
      <c r="O22" s="96" t="e">
        <f>#REF!/Millon</f>
        <v>#REF!</v>
      </c>
      <c r="P22" s="96" t="e">
        <f>#REF!/Millon</f>
        <v>#REF!</v>
      </c>
      <c r="Q22" s="96" t="e">
        <f>#REF!/Millon</f>
        <v>#REF!</v>
      </c>
      <c r="R22" s="96" t="e">
        <f>#REF!/Millon</f>
        <v>#REF!</v>
      </c>
      <c r="S22" s="96" t="e">
        <f t="shared" si="4"/>
        <v>#REF!</v>
      </c>
      <c r="T22" s="167" t="e">
        <f>S22/$S$21</f>
        <v>#REF!</v>
      </c>
    </row>
    <row r="23" spans="1:20" ht="25.5" customHeight="1">
      <c r="A23" s="74">
        <v>2.2000000000000002</v>
      </c>
      <c r="B23" s="95" t="s">
        <v>524</v>
      </c>
      <c r="C23" s="96" t="e">
        <f>#REF!/Millon</f>
        <v>#REF!</v>
      </c>
      <c r="D23" s="96" t="e">
        <f>#REF!/Millon</f>
        <v>#REF!</v>
      </c>
      <c r="E23" s="96" t="e">
        <f>#REF!/Millon</f>
        <v>#REF!</v>
      </c>
      <c r="F23" s="96" t="e">
        <f>#REF!/Millon</f>
        <v>#REF!</v>
      </c>
      <c r="G23" s="96" t="e">
        <f>#REF!/Millon</f>
        <v>#REF!</v>
      </c>
      <c r="H23" s="96" t="e">
        <f>#REF!/Millon</f>
        <v>#REF!</v>
      </c>
      <c r="I23" s="96" t="e">
        <f>#REF!/Millon</f>
        <v>#REF!</v>
      </c>
      <c r="J23" s="96" t="e">
        <f>#REF!/Millon</f>
        <v>#REF!</v>
      </c>
      <c r="K23" s="96" t="e">
        <f>#REF!/Millon</f>
        <v>#REF!</v>
      </c>
      <c r="L23" s="96" t="e">
        <f>#REF!/Millon</f>
        <v>#REF!</v>
      </c>
      <c r="M23" s="96" t="e">
        <f>#REF!/Millon</f>
        <v>#REF!</v>
      </c>
      <c r="N23" s="96" t="e">
        <f>#REF!/Millon</f>
        <v>#REF!</v>
      </c>
      <c r="O23" s="96" t="e">
        <f>#REF!/Millon</f>
        <v>#REF!</v>
      </c>
      <c r="P23" s="96" t="e">
        <f>#REF!/Millon</f>
        <v>#REF!</v>
      </c>
      <c r="Q23" s="96" t="e">
        <f>#REF!/Millon</f>
        <v>#REF!</v>
      </c>
      <c r="R23" s="96" t="e">
        <f>#REF!/Millon</f>
        <v>#REF!</v>
      </c>
      <c r="S23" s="96" t="e">
        <f t="shared" si="4"/>
        <v>#REF!</v>
      </c>
      <c r="T23" s="167" t="e">
        <f>S23/$S$21</f>
        <v>#REF!</v>
      </c>
    </row>
    <row r="24" spans="1:20" ht="13.5" customHeight="1">
      <c r="A24" s="41"/>
      <c r="B24" s="51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1079"/>
      <c r="S24" s="1079"/>
      <c r="T24" s="98"/>
    </row>
    <row r="25" spans="1:20" ht="25.5" customHeight="1">
      <c r="A25" s="41"/>
      <c r="B25" s="1080" t="s">
        <v>490</v>
      </c>
      <c r="C25" s="1081" t="e">
        <f t="shared" ref="C25:R25" si="6">C18+C21</f>
        <v>#REF!</v>
      </c>
      <c r="D25" s="1081" t="e">
        <f t="shared" si="6"/>
        <v>#REF!</v>
      </c>
      <c r="E25" s="1081" t="e">
        <f t="shared" si="6"/>
        <v>#REF!</v>
      </c>
      <c r="F25" s="1081" t="e">
        <f t="shared" si="6"/>
        <v>#REF!</v>
      </c>
      <c r="G25" s="1081" t="e">
        <f t="shared" si="6"/>
        <v>#REF!</v>
      </c>
      <c r="H25" s="1081" t="e">
        <f t="shared" si="6"/>
        <v>#REF!</v>
      </c>
      <c r="I25" s="1081" t="e">
        <f t="shared" si="6"/>
        <v>#REF!</v>
      </c>
      <c r="J25" s="1081" t="e">
        <f t="shared" si="6"/>
        <v>#REF!</v>
      </c>
      <c r="K25" s="1081" t="e">
        <f t="shared" si="6"/>
        <v>#REF!</v>
      </c>
      <c r="L25" s="1081" t="e">
        <f t="shared" si="6"/>
        <v>#REF!</v>
      </c>
      <c r="M25" s="1081" t="e">
        <f t="shared" si="6"/>
        <v>#REF!</v>
      </c>
      <c r="N25" s="1081" t="e">
        <f t="shared" si="6"/>
        <v>#REF!</v>
      </c>
      <c r="O25" s="1081" t="e">
        <f t="shared" si="6"/>
        <v>#REF!</v>
      </c>
      <c r="P25" s="1081" t="e">
        <f t="shared" si="6"/>
        <v>#REF!</v>
      </c>
      <c r="Q25" s="1081" t="e">
        <f t="shared" si="6"/>
        <v>#REF!</v>
      </c>
      <c r="R25" s="1081" t="e">
        <f t="shared" si="6"/>
        <v>#REF!</v>
      </c>
      <c r="S25" s="1081" t="e">
        <f>SUM(C25:R25)</f>
        <v>#REF!</v>
      </c>
      <c r="T25" s="1082" t="e">
        <f>T18+T21</f>
        <v>#REF!</v>
      </c>
    </row>
    <row r="26" spans="1:20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>
      <c r="A27" s="1067" t="s">
        <v>525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>
      <c r="A28" s="951" t="s">
        <v>487</v>
      </c>
      <c r="B28" s="1074" t="s">
        <v>488</v>
      </c>
      <c r="C28" s="1075" t="s">
        <v>517</v>
      </c>
      <c r="D28" s="1075"/>
      <c r="E28" s="1075"/>
      <c r="F28" s="1075"/>
      <c r="G28" s="1075"/>
      <c r="H28" s="1075"/>
      <c r="I28" s="1075"/>
      <c r="J28" s="1075"/>
      <c r="K28" s="1075"/>
      <c r="L28" s="1075"/>
      <c r="M28" s="1075"/>
      <c r="N28" s="1075"/>
      <c r="O28" s="1075"/>
      <c r="P28" s="1075"/>
      <c r="Q28" s="1075"/>
      <c r="R28" s="1075"/>
      <c r="S28" s="1074" t="s">
        <v>18</v>
      </c>
      <c r="T28" s="1074" t="s">
        <v>107</v>
      </c>
    </row>
    <row r="29" spans="1:20">
      <c r="A29" s="951"/>
      <c r="B29" s="1074"/>
      <c r="C29" s="1076" t="e">
        <f>#REF!</f>
        <v>#REF!</v>
      </c>
      <c r="D29" s="1076" t="e">
        <f>#REF!</f>
        <v>#REF!</v>
      </c>
      <c r="E29" s="1076" t="e">
        <f>#REF!</f>
        <v>#REF!</v>
      </c>
      <c r="F29" s="1076" t="e">
        <f>#REF!</f>
        <v>#REF!</v>
      </c>
      <c r="G29" s="1076" t="e">
        <f>#REF!</f>
        <v>#REF!</v>
      </c>
      <c r="H29" s="1076" t="e">
        <f>#REF!</f>
        <v>#REF!</v>
      </c>
      <c r="I29" s="1076" t="e">
        <f>#REF!</f>
        <v>#REF!</v>
      </c>
      <c r="J29" s="1076" t="e">
        <f>#REF!</f>
        <v>#REF!</v>
      </c>
      <c r="K29" s="1076" t="e">
        <f>#REF!</f>
        <v>#REF!</v>
      </c>
      <c r="L29" s="1076" t="e">
        <f>#REF!</f>
        <v>#REF!</v>
      </c>
      <c r="M29" s="1076" t="e">
        <f>#REF!</f>
        <v>#REF!</v>
      </c>
      <c r="N29" s="1076" t="e">
        <f>#REF!</f>
        <v>#REF!</v>
      </c>
      <c r="O29" s="1076" t="e">
        <f>#REF!</f>
        <v>#REF!</v>
      </c>
      <c r="P29" s="1076" t="e">
        <f>#REF!</f>
        <v>#REF!</v>
      </c>
      <c r="Q29" s="1076" t="e">
        <f>#REF!</f>
        <v>#REF!</v>
      </c>
      <c r="R29" s="1076" t="e">
        <f>#REF!</f>
        <v>#REF!</v>
      </c>
      <c r="S29" s="1074"/>
      <c r="T29" s="1074"/>
    </row>
    <row r="30" spans="1:20" ht="25.5" customHeight="1">
      <c r="A30" s="1118">
        <v>1</v>
      </c>
      <c r="B30" s="1119" t="s">
        <v>518</v>
      </c>
      <c r="C30" s="1077" t="e">
        <f t="shared" ref="C30:R30" si="7">SUM(C31:C32)</f>
        <v>#REF!</v>
      </c>
      <c r="D30" s="1077" t="e">
        <f t="shared" si="7"/>
        <v>#REF!</v>
      </c>
      <c r="E30" s="1077" t="e">
        <f t="shared" si="7"/>
        <v>#REF!</v>
      </c>
      <c r="F30" s="1077" t="e">
        <f t="shared" si="7"/>
        <v>#REF!</v>
      </c>
      <c r="G30" s="1077" t="e">
        <f t="shared" si="7"/>
        <v>#REF!</v>
      </c>
      <c r="H30" s="1077" t="e">
        <f t="shared" si="7"/>
        <v>#REF!</v>
      </c>
      <c r="I30" s="1077" t="e">
        <f t="shared" si="7"/>
        <v>#REF!</v>
      </c>
      <c r="J30" s="1077" t="e">
        <f t="shared" si="7"/>
        <v>#REF!</v>
      </c>
      <c r="K30" s="1077" t="e">
        <f t="shared" si="7"/>
        <v>#REF!</v>
      </c>
      <c r="L30" s="1077" t="e">
        <f t="shared" si="7"/>
        <v>#REF!</v>
      </c>
      <c r="M30" s="1077" t="e">
        <f t="shared" si="7"/>
        <v>#REF!</v>
      </c>
      <c r="N30" s="1077" t="e">
        <f t="shared" si="7"/>
        <v>#REF!</v>
      </c>
      <c r="O30" s="1077" t="e">
        <f t="shared" si="7"/>
        <v>#REF!</v>
      </c>
      <c r="P30" s="1077" t="e">
        <f t="shared" si="7"/>
        <v>#REF!</v>
      </c>
      <c r="Q30" s="1077" t="e">
        <f t="shared" si="7"/>
        <v>#REF!</v>
      </c>
      <c r="R30" s="1077" t="e">
        <f t="shared" si="7"/>
        <v>#REF!</v>
      </c>
      <c r="S30" s="1077" t="e">
        <f t="shared" ref="S30:S35" si="8">SUM(C30:R30)</f>
        <v>#REF!</v>
      </c>
      <c r="T30" s="1078" t="e">
        <f>S30/$S$37</f>
        <v>#REF!</v>
      </c>
    </row>
    <row r="31" spans="1:20" ht="25.5" customHeight="1">
      <c r="A31" s="74">
        <v>1.1000000000000001</v>
      </c>
      <c r="B31" s="95" t="s">
        <v>519</v>
      </c>
      <c r="C31" s="96" t="e">
        <f t="shared" ref="C31:R31" si="9">C19-C8</f>
        <v>#REF!</v>
      </c>
      <c r="D31" s="96" t="e">
        <f t="shared" si="9"/>
        <v>#REF!</v>
      </c>
      <c r="E31" s="96" t="e">
        <f t="shared" si="9"/>
        <v>#REF!</v>
      </c>
      <c r="F31" s="96" t="e">
        <f t="shared" si="9"/>
        <v>#REF!</v>
      </c>
      <c r="G31" s="96" t="e">
        <f t="shared" si="9"/>
        <v>#REF!</v>
      </c>
      <c r="H31" s="96" t="e">
        <f t="shared" si="9"/>
        <v>#REF!</v>
      </c>
      <c r="I31" s="96" t="e">
        <f t="shared" si="9"/>
        <v>#REF!</v>
      </c>
      <c r="J31" s="96" t="e">
        <f t="shared" si="9"/>
        <v>#REF!</v>
      </c>
      <c r="K31" s="96" t="e">
        <f t="shared" si="9"/>
        <v>#REF!</v>
      </c>
      <c r="L31" s="96" t="e">
        <f t="shared" si="9"/>
        <v>#REF!</v>
      </c>
      <c r="M31" s="96" t="e">
        <f t="shared" si="9"/>
        <v>#REF!</v>
      </c>
      <c r="N31" s="96" t="e">
        <f t="shared" si="9"/>
        <v>#REF!</v>
      </c>
      <c r="O31" s="96" t="e">
        <f t="shared" si="9"/>
        <v>#REF!</v>
      </c>
      <c r="P31" s="96" t="e">
        <f t="shared" si="9"/>
        <v>#REF!</v>
      </c>
      <c r="Q31" s="96" t="e">
        <f t="shared" si="9"/>
        <v>#REF!</v>
      </c>
      <c r="R31" s="96" t="e">
        <f t="shared" si="9"/>
        <v>#REF!</v>
      </c>
      <c r="S31" s="96" t="e">
        <f t="shared" si="8"/>
        <v>#REF!</v>
      </c>
      <c r="T31" s="167" t="e">
        <f>S31/S30</f>
        <v>#REF!</v>
      </c>
    </row>
    <row r="32" spans="1:20" ht="25.5" customHeight="1">
      <c r="A32" s="74">
        <v>1.2</v>
      </c>
      <c r="B32" s="95" t="s">
        <v>520</v>
      </c>
      <c r="C32" s="96" t="e">
        <f t="shared" ref="C32:R32" si="10">C20-C9</f>
        <v>#REF!</v>
      </c>
      <c r="D32" s="96" t="e">
        <f t="shared" si="10"/>
        <v>#REF!</v>
      </c>
      <c r="E32" s="96" t="e">
        <f t="shared" si="10"/>
        <v>#REF!</v>
      </c>
      <c r="F32" s="96" t="e">
        <f t="shared" si="10"/>
        <v>#REF!</v>
      </c>
      <c r="G32" s="96" t="e">
        <f t="shared" si="10"/>
        <v>#REF!</v>
      </c>
      <c r="H32" s="96" t="e">
        <f t="shared" si="10"/>
        <v>#REF!</v>
      </c>
      <c r="I32" s="96" t="e">
        <f t="shared" si="10"/>
        <v>#REF!</v>
      </c>
      <c r="J32" s="96" t="e">
        <f t="shared" si="10"/>
        <v>#REF!</v>
      </c>
      <c r="K32" s="96" t="e">
        <f t="shared" si="10"/>
        <v>#REF!</v>
      </c>
      <c r="L32" s="96" t="e">
        <f t="shared" si="10"/>
        <v>#REF!</v>
      </c>
      <c r="M32" s="96" t="e">
        <f t="shared" si="10"/>
        <v>#REF!</v>
      </c>
      <c r="N32" s="96" t="e">
        <f t="shared" si="10"/>
        <v>#REF!</v>
      </c>
      <c r="O32" s="96" t="e">
        <f t="shared" si="10"/>
        <v>#REF!</v>
      </c>
      <c r="P32" s="96" t="e">
        <f t="shared" si="10"/>
        <v>#REF!</v>
      </c>
      <c r="Q32" s="96" t="e">
        <f t="shared" si="10"/>
        <v>#REF!</v>
      </c>
      <c r="R32" s="96" t="e">
        <f t="shared" si="10"/>
        <v>#REF!</v>
      </c>
      <c r="S32" s="96" t="e">
        <f t="shared" si="8"/>
        <v>#REF!</v>
      </c>
      <c r="T32" s="167" t="e">
        <f>S32/S30</f>
        <v>#REF!</v>
      </c>
    </row>
    <row r="33" spans="1:20" ht="25.5" customHeight="1">
      <c r="A33" s="1118">
        <v>2</v>
      </c>
      <c r="B33" s="1119" t="s">
        <v>521</v>
      </c>
      <c r="C33" s="1077" t="e">
        <f t="shared" ref="C33:R33" si="11">SUM(C34:C35)</f>
        <v>#REF!</v>
      </c>
      <c r="D33" s="1077" t="e">
        <f t="shared" si="11"/>
        <v>#REF!</v>
      </c>
      <c r="E33" s="1077" t="e">
        <f t="shared" si="11"/>
        <v>#REF!</v>
      </c>
      <c r="F33" s="1077" t="e">
        <f t="shared" si="11"/>
        <v>#REF!</v>
      </c>
      <c r="G33" s="1077" t="e">
        <f t="shared" si="11"/>
        <v>#REF!</v>
      </c>
      <c r="H33" s="1077" t="e">
        <f t="shared" si="11"/>
        <v>#REF!</v>
      </c>
      <c r="I33" s="1077" t="e">
        <f t="shared" si="11"/>
        <v>#REF!</v>
      </c>
      <c r="J33" s="1077" t="e">
        <f t="shared" si="11"/>
        <v>#REF!</v>
      </c>
      <c r="K33" s="1077" t="e">
        <f t="shared" si="11"/>
        <v>#REF!</v>
      </c>
      <c r="L33" s="1077" t="e">
        <f t="shared" si="11"/>
        <v>#REF!</v>
      </c>
      <c r="M33" s="1077" t="e">
        <f t="shared" si="11"/>
        <v>#REF!</v>
      </c>
      <c r="N33" s="1077" t="e">
        <f t="shared" si="11"/>
        <v>#REF!</v>
      </c>
      <c r="O33" s="1077" t="e">
        <f t="shared" si="11"/>
        <v>#REF!</v>
      </c>
      <c r="P33" s="1077" t="e">
        <f t="shared" si="11"/>
        <v>#REF!</v>
      </c>
      <c r="Q33" s="1077" t="e">
        <f t="shared" si="11"/>
        <v>#REF!</v>
      </c>
      <c r="R33" s="1077" t="e">
        <f t="shared" si="11"/>
        <v>#REF!</v>
      </c>
      <c r="S33" s="1077" t="e">
        <f t="shared" si="8"/>
        <v>#REF!</v>
      </c>
      <c r="T33" s="1078" t="e">
        <f>S33/$S$37</f>
        <v>#REF!</v>
      </c>
    </row>
    <row r="34" spans="1:20" ht="25.5" customHeight="1">
      <c r="A34" s="74">
        <v>2.1</v>
      </c>
      <c r="B34" s="95" t="s">
        <v>522</v>
      </c>
      <c r="C34" s="96" t="e">
        <f t="shared" ref="C34:R34" si="12">C22-C11</f>
        <v>#REF!</v>
      </c>
      <c r="D34" s="96" t="e">
        <f t="shared" si="12"/>
        <v>#REF!</v>
      </c>
      <c r="E34" s="96" t="e">
        <f t="shared" si="12"/>
        <v>#REF!</v>
      </c>
      <c r="F34" s="96" t="e">
        <f t="shared" si="12"/>
        <v>#REF!</v>
      </c>
      <c r="G34" s="96" t="e">
        <f t="shared" si="12"/>
        <v>#REF!</v>
      </c>
      <c r="H34" s="96" t="e">
        <f t="shared" si="12"/>
        <v>#REF!</v>
      </c>
      <c r="I34" s="96" t="e">
        <f t="shared" si="12"/>
        <v>#REF!</v>
      </c>
      <c r="J34" s="96" t="e">
        <f t="shared" si="12"/>
        <v>#REF!</v>
      </c>
      <c r="K34" s="96" t="e">
        <f t="shared" si="12"/>
        <v>#REF!</v>
      </c>
      <c r="L34" s="96" t="e">
        <f t="shared" si="12"/>
        <v>#REF!</v>
      </c>
      <c r="M34" s="96" t="e">
        <f t="shared" si="12"/>
        <v>#REF!</v>
      </c>
      <c r="N34" s="96" t="e">
        <f t="shared" si="12"/>
        <v>#REF!</v>
      </c>
      <c r="O34" s="96" t="e">
        <f t="shared" si="12"/>
        <v>#REF!</v>
      </c>
      <c r="P34" s="96" t="e">
        <f t="shared" si="12"/>
        <v>#REF!</v>
      </c>
      <c r="Q34" s="96" t="e">
        <f t="shared" si="12"/>
        <v>#REF!</v>
      </c>
      <c r="R34" s="96" t="e">
        <f t="shared" si="12"/>
        <v>#REF!</v>
      </c>
      <c r="S34" s="96" t="e">
        <f t="shared" si="8"/>
        <v>#REF!</v>
      </c>
      <c r="T34" s="167"/>
    </row>
    <row r="35" spans="1:20" ht="25.5" customHeight="1">
      <c r="A35" s="74">
        <v>2.2000000000000002</v>
      </c>
      <c r="B35" s="95" t="s">
        <v>524</v>
      </c>
      <c r="C35" s="96" t="e">
        <f t="shared" ref="C35:R35" si="13">C23</f>
        <v>#REF!</v>
      </c>
      <c r="D35" s="96" t="e">
        <f t="shared" si="13"/>
        <v>#REF!</v>
      </c>
      <c r="E35" s="96" t="e">
        <f t="shared" si="13"/>
        <v>#REF!</v>
      </c>
      <c r="F35" s="96" t="e">
        <f t="shared" si="13"/>
        <v>#REF!</v>
      </c>
      <c r="G35" s="96" t="e">
        <f t="shared" si="13"/>
        <v>#REF!</v>
      </c>
      <c r="H35" s="96" t="e">
        <f t="shared" si="13"/>
        <v>#REF!</v>
      </c>
      <c r="I35" s="96" t="e">
        <f t="shared" si="13"/>
        <v>#REF!</v>
      </c>
      <c r="J35" s="96" t="e">
        <f t="shared" si="13"/>
        <v>#REF!</v>
      </c>
      <c r="K35" s="96" t="e">
        <f t="shared" si="13"/>
        <v>#REF!</v>
      </c>
      <c r="L35" s="96" t="e">
        <f t="shared" si="13"/>
        <v>#REF!</v>
      </c>
      <c r="M35" s="96" t="e">
        <f t="shared" si="13"/>
        <v>#REF!</v>
      </c>
      <c r="N35" s="96" t="e">
        <f t="shared" si="13"/>
        <v>#REF!</v>
      </c>
      <c r="O35" s="96" t="e">
        <f t="shared" si="13"/>
        <v>#REF!</v>
      </c>
      <c r="P35" s="96" t="e">
        <f t="shared" si="13"/>
        <v>#REF!</v>
      </c>
      <c r="Q35" s="96" t="e">
        <f t="shared" si="13"/>
        <v>#REF!</v>
      </c>
      <c r="R35" s="96" t="e">
        <f t="shared" si="13"/>
        <v>#REF!</v>
      </c>
      <c r="S35" s="96" t="e">
        <f t="shared" si="8"/>
        <v>#REF!</v>
      </c>
      <c r="T35" s="167"/>
    </row>
    <row r="36" spans="1:20" ht="13.5" customHeight="1">
      <c r="A36" s="41"/>
      <c r="B36" s="51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1079"/>
      <c r="S36" s="1079"/>
      <c r="T36" s="98"/>
    </row>
    <row r="37" spans="1:20" ht="25.5" customHeight="1">
      <c r="A37" s="41"/>
      <c r="B37" s="1080" t="s">
        <v>490</v>
      </c>
      <c r="C37" s="1081" t="e">
        <f t="shared" ref="C37:R37" si="14">C30+C33</f>
        <v>#REF!</v>
      </c>
      <c r="D37" s="1081" t="e">
        <f t="shared" si="14"/>
        <v>#REF!</v>
      </c>
      <c r="E37" s="1081" t="e">
        <f t="shared" si="14"/>
        <v>#REF!</v>
      </c>
      <c r="F37" s="1081" t="e">
        <f t="shared" si="14"/>
        <v>#REF!</v>
      </c>
      <c r="G37" s="1081" t="e">
        <f t="shared" si="14"/>
        <v>#REF!</v>
      </c>
      <c r="H37" s="1081" t="e">
        <f t="shared" si="14"/>
        <v>#REF!</v>
      </c>
      <c r="I37" s="1081" t="e">
        <f t="shared" si="14"/>
        <v>#REF!</v>
      </c>
      <c r="J37" s="1081" t="e">
        <f t="shared" si="14"/>
        <v>#REF!</v>
      </c>
      <c r="K37" s="1081" t="e">
        <f t="shared" si="14"/>
        <v>#REF!</v>
      </c>
      <c r="L37" s="1081" t="e">
        <f t="shared" si="14"/>
        <v>#REF!</v>
      </c>
      <c r="M37" s="1081" t="e">
        <f t="shared" si="14"/>
        <v>#REF!</v>
      </c>
      <c r="N37" s="1081" t="e">
        <f t="shared" si="14"/>
        <v>#REF!</v>
      </c>
      <c r="O37" s="1081" t="e">
        <f t="shared" si="14"/>
        <v>#REF!</v>
      </c>
      <c r="P37" s="1081" t="e">
        <f t="shared" si="14"/>
        <v>#REF!</v>
      </c>
      <c r="Q37" s="1081" t="e">
        <f t="shared" si="14"/>
        <v>#REF!</v>
      </c>
      <c r="R37" s="1081" t="e">
        <f t="shared" si="14"/>
        <v>#REF!</v>
      </c>
      <c r="S37" s="1081" t="e">
        <f>SUM(C37:R37)</f>
        <v>#REF!</v>
      </c>
      <c r="T37" s="1082" t="e">
        <f>T30+T33</f>
        <v>#REF!</v>
      </c>
    </row>
    <row r="38" spans="1:20" ht="5.2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5.2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32.25" customHeight="1">
      <c r="A40" s="41"/>
      <c r="B40" s="1110" t="s">
        <v>526</v>
      </c>
      <c r="C40" s="1120" t="e">
        <f>NPV(TSD,D37:R37)+C37</f>
        <v>#REF!</v>
      </c>
      <c r="D40" s="1120"/>
      <c r="E40" s="1121" t="s">
        <v>527</v>
      </c>
      <c r="F40" s="1122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>
      <c r="A44" s="1067" t="s">
        <v>528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>
      <c r="A45" s="954" t="s">
        <v>487</v>
      </c>
      <c r="B45" s="992" t="s">
        <v>488</v>
      </c>
      <c r="C45" s="995" t="s">
        <v>489</v>
      </c>
      <c r="D45" s="996"/>
      <c r="E45" s="996"/>
      <c r="F45" s="996"/>
      <c r="G45" s="996"/>
      <c r="H45" s="996"/>
      <c r="I45" s="996"/>
      <c r="J45" s="996"/>
      <c r="K45" s="996"/>
      <c r="L45" s="996"/>
      <c r="M45" s="996"/>
      <c r="N45" s="996"/>
      <c r="O45" s="996"/>
      <c r="P45" s="996"/>
      <c r="Q45" s="996"/>
      <c r="R45" s="997"/>
      <c r="S45" s="992" t="s">
        <v>18</v>
      </c>
      <c r="T45" s="992" t="s">
        <v>107</v>
      </c>
    </row>
    <row r="46" spans="1:20">
      <c r="A46" s="955"/>
      <c r="B46" s="993"/>
      <c r="C46" s="1076" t="e">
        <f>#REF!</f>
        <v>#REF!</v>
      </c>
      <c r="D46" s="1076" t="e">
        <f>#REF!</f>
        <v>#REF!</v>
      </c>
      <c r="E46" s="1076" t="e">
        <f>#REF!</f>
        <v>#REF!</v>
      </c>
      <c r="F46" s="1076" t="e">
        <f>#REF!</f>
        <v>#REF!</v>
      </c>
      <c r="G46" s="1076" t="e">
        <f>#REF!</f>
        <v>#REF!</v>
      </c>
      <c r="H46" s="1076" t="e">
        <f>#REF!</f>
        <v>#REF!</v>
      </c>
      <c r="I46" s="1076" t="e">
        <f>#REF!</f>
        <v>#REF!</v>
      </c>
      <c r="J46" s="1076" t="e">
        <f>#REF!</f>
        <v>#REF!</v>
      </c>
      <c r="K46" s="1076" t="e">
        <f>#REF!</f>
        <v>#REF!</v>
      </c>
      <c r="L46" s="1076" t="e">
        <f>#REF!</f>
        <v>#REF!</v>
      </c>
      <c r="M46" s="1076" t="e">
        <f>#REF!</f>
        <v>#REF!</v>
      </c>
      <c r="N46" s="1076" t="e">
        <f>#REF!</f>
        <v>#REF!</v>
      </c>
      <c r="O46" s="1076" t="e">
        <f>#REF!</f>
        <v>#REF!</v>
      </c>
      <c r="P46" s="1076" t="e">
        <f>#REF!</f>
        <v>#REF!</v>
      </c>
      <c r="Q46" s="1076" t="e">
        <f>#REF!</f>
        <v>#REF!</v>
      </c>
      <c r="R46" s="1076" t="e">
        <f>#REF!</f>
        <v>#REF!</v>
      </c>
      <c r="S46" s="993"/>
      <c r="T46" s="993"/>
    </row>
    <row r="47" spans="1:20" ht="30.75" customHeight="1">
      <c r="A47" s="74">
        <v>1</v>
      </c>
      <c r="B47" s="95" t="e">
        <f>#REF!</f>
        <v>#REF!</v>
      </c>
      <c r="C47" s="95" t="e">
        <f>#REF!/Mil</f>
        <v>#REF!</v>
      </c>
      <c r="D47" s="95" t="e">
        <f>#REF!/Mil</f>
        <v>#REF!</v>
      </c>
      <c r="E47" s="95" t="e">
        <f>#REF!/Mil</f>
        <v>#REF!</v>
      </c>
      <c r="F47" s="95" t="e">
        <f>#REF!/Mil</f>
        <v>#REF!</v>
      </c>
      <c r="G47" s="95" t="e">
        <f>#REF!/Mil</f>
        <v>#REF!</v>
      </c>
      <c r="H47" s="95" t="e">
        <f>#REF!/Mil</f>
        <v>#REF!</v>
      </c>
      <c r="I47" s="95" t="e">
        <f>#REF!/Mil</f>
        <v>#REF!</v>
      </c>
      <c r="J47" s="95" t="e">
        <f>#REF!/Mil</f>
        <v>#REF!</v>
      </c>
      <c r="K47" s="95" t="e">
        <f>#REF!/Mil</f>
        <v>#REF!</v>
      </c>
      <c r="L47" s="95" t="e">
        <f>#REF!/Mil</f>
        <v>#REF!</v>
      </c>
      <c r="M47" s="95" t="e">
        <f>#REF!/Mil</f>
        <v>#REF!</v>
      </c>
      <c r="N47" s="95" t="e">
        <f>#REF!/Mil</f>
        <v>#REF!</v>
      </c>
      <c r="O47" s="95" t="e">
        <f>#REF!/Mil</f>
        <v>#REF!</v>
      </c>
      <c r="P47" s="95" t="e">
        <f>#REF!/Mil</f>
        <v>#REF!</v>
      </c>
      <c r="Q47" s="95" t="e">
        <f>#REF!/Mil</f>
        <v>#REF!</v>
      </c>
      <c r="R47" s="95" t="e">
        <f>#REF!/Mil</f>
        <v>#REF!</v>
      </c>
      <c r="S47" s="1119" t="e">
        <f>SUM(C47:R47)</f>
        <v>#REF!</v>
      </c>
      <c r="T47" s="1078" t="e">
        <f>S47/$S$52</f>
        <v>#REF!</v>
      </c>
    </row>
    <row r="48" spans="1:20" ht="26.25" customHeight="1">
      <c r="A48" s="74">
        <v>2</v>
      </c>
      <c r="B48" s="95" t="e">
        <f>#REF!</f>
        <v>#REF!</v>
      </c>
      <c r="C48" s="95" t="e">
        <f>#REF!/Mil</f>
        <v>#REF!</v>
      </c>
      <c r="D48" s="95" t="e">
        <f>#REF!/Mil</f>
        <v>#REF!</v>
      </c>
      <c r="E48" s="95" t="e">
        <f>#REF!/Mil</f>
        <v>#REF!</v>
      </c>
      <c r="F48" s="95" t="e">
        <f>#REF!/Mil</f>
        <v>#REF!</v>
      </c>
      <c r="G48" s="95" t="e">
        <f>#REF!/Mil</f>
        <v>#REF!</v>
      </c>
      <c r="H48" s="95" t="e">
        <f>#REF!/Mil</f>
        <v>#REF!</v>
      </c>
      <c r="I48" s="95" t="e">
        <f>#REF!/Mil</f>
        <v>#REF!</v>
      </c>
      <c r="J48" s="95" t="e">
        <f>#REF!/Mil</f>
        <v>#REF!</v>
      </c>
      <c r="K48" s="95" t="e">
        <f>#REF!/Mil</f>
        <v>#REF!</v>
      </c>
      <c r="L48" s="95" t="e">
        <f>#REF!/Mil</f>
        <v>#REF!</v>
      </c>
      <c r="M48" s="95" t="e">
        <f>#REF!/Mil</f>
        <v>#REF!</v>
      </c>
      <c r="N48" s="95" t="e">
        <f>#REF!/Mil</f>
        <v>#REF!</v>
      </c>
      <c r="O48" s="95" t="e">
        <f>#REF!/Mil</f>
        <v>#REF!</v>
      </c>
      <c r="P48" s="95" t="e">
        <f>#REF!/Mil</f>
        <v>#REF!</v>
      </c>
      <c r="Q48" s="95" t="e">
        <f>#REF!/Mil</f>
        <v>#REF!</v>
      </c>
      <c r="R48" s="95" t="e">
        <f>#REF!/Mil</f>
        <v>#REF!</v>
      </c>
      <c r="S48" s="1119" t="e">
        <f>SUM(C48:R48)</f>
        <v>#REF!</v>
      </c>
      <c r="T48" s="1078" t="e">
        <f>S48/$S$52</f>
        <v>#REF!</v>
      </c>
    </row>
    <row r="49" spans="1:20" ht="26.25" customHeight="1">
      <c r="A49" s="74">
        <v>3</v>
      </c>
      <c r="B49" s="95" t="e">
        <f>#REF!</f>
        <v>#REF!</v>
      </c>
      <c r="C49" s="95" t="e">
        <f>#REF!/Mil</f>
        <v>#REF!</v>
      </c>
      <c r="D49" s="95" t="e">
        <f>#REF!/Mil</f>
        <v>#REF!</v>
      </c>
      <c r="E49" s="95" t="e">
        <f>#REF!/Mil</f>
        <v>#REF!</v>
      </c>
      <c r="F49" s="95" t="e">
        <f>#REF!/Mil</f>
        <v>#REF!</v>
      </c>
      <c r="G49" s="95" t="e">
        <f>#REF!/Mil</f>
        <v>#REF!</v>
      </c>
      <c r="H49" s="95" t="e">
        <f>#REF!/Mil</f>
        <v>#REF!</v>
      </c>
      <c r="I49" s="95" t="e">
        <f>#REF!/Mil</f>
        <v>#REF!</v>
      </c>
      <c r="J49" s="95" t="e">
        <f>#REF!/Mil</f>
        <v>#REF!</v>
      </c>
      <c r="K49" s="95" t="e">
        <f>#REF!/Mil</f>
        <v>#REF!</v>
      </c>
      <c r="L49" s="95" t="e">
        <f>#REF!/Mil</f>
        <v>#REF!</v>
      </c>
      <c r="M49" s="95" t="e">
        <f>#REF!/Mil</f>
        <v>#REF!</v>
      </c>
      <c r="N49" s="95" t="e">
        <f>#REF!/Mil</f>
        <v>#REF!</v>
      </c>
      <c r="O49" s="95" t="e">
        <f>#REF!/Mil</f>
        <v>#REF!</v>
      </c>
      <c r="P49" s="95" t="e">
        <f>#REF!/Mil</f>
        <v>#REF!</v>
      </c>
      <c r="Q49" s="95" t="e">
        <f>#REF!/Mil</f>
        <v>#REF!</v>
      </c>
      <c r="R49" s="95" t="e">
        <f>#REF!/Mil</f>
        <v>#REF!</v>
      </c>
      <c r="S49" s="1119" t="e">
        <f>SUM(C49:R49)</f>
        <v>#REF!</v>
      </c>
      <c r="T49" s="1078" t="e">
        <f>S49/$S$52</f>
        <v>#REF!</v>
      </c>
    </row>
    <row r="51" spans="1:20">
      <c r="A51" s="4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1123"/>
      <c r="S51" s="1123"/>
      <c r="T51" s="98"/>
    </row>
    <row r="52" spans="1:20" ht="26.25" customHeight="1">
      <c r="A52" s="41"/>
      <c r="B52" s="1080" t="s">
        <v>490</v>
      </c>
      <c r="C52" s="1124" t="e">
        <f>SUM(C47:C49)</f>
        <v>#REF!</v>
      </c>
      <c r="D52" s="1124" t="e">
        <f t="shared" ref="D52:S52" si="15">SUM(D47:D49)</f>
        <v>#REF!</v>
      </c>
      <c r="E52" s="1124" t="e">
        <f t="shared" si="15"/>
        <v>#REF!</v>
      </c>
      <c r="F52" s="1124" t="e">
        <f t="shared" si="15"/>
        <v>#REF!</v>
      </c>
      <c r="G52" s="1124" t="e">
        <f t="shared" si="15"/>
        <v>#REF!</v>
      </c>
      <c r="H52" s="1124" t="e">
        <f t="shared" si="15"/>
        <v>#REF!</v>
      </c>
      <c r="I52" s="1124" t="e">
        <f t="shared" si="15"/>
        <v>#REF!</v>
      </c>
      <c r="J52" s="1124" t="e">
        <f t="shared" si="15"/>
        <v>#REF!</v>
      </c>
      <c r="K52" s="1124" t="e">
        <f t="shared" si="15"/>
        <v>#REF!</v>
      </c>
      <c r="L52" s="1124" t="e">
        <f t="shared" si="15"/>
        <v>#REF!</v>
      </c>
      <c r="M52" s="1124" t="e">
        <f t="shared" si="15"/>
        <v>#REF!</v>
      </c>
      <c r="N52" s="1124" t="e">
        <f t="shared" si="15"/>
        <v>#REF!</v>
      </c>
      <c r="O52" s="1124" t="e">
        <f t="shared" si="15"/>
        <v>#REF!</v>
      </c>
      <c r="P52" s="1124" t="e">
        <f t="shared" si="15"/>
        <v>#REF!</v>
      </c>
      <c r="Q52" s="1124" t="e">
        <f t="shared" si="15"/>
        <v>#REF!</v>
      </c>
      <c r="R52" s="1124" t="e">
        <f t="shared" si="15"/>
        <v>#REF!</v>
      </c>
      <c r="S52" s="1124" t="e">
        <f t="shared" si="15"/>
        <v>#REF!</v>
      </c>
      <c r="T52" s="1082" t="e">
        <f>SUM(T47:T49)</f>
        <v>#REF!</v>
      </c>
    </row>
    <row r="55" spans="1:20">
      <c r="A55" s="760"/>
      <c r="B55" s="760"/>
      <c r="C55" s="114"/>
      <c r="D55" s="760"/>
      <c r="E55" s="760"/>
      <c r="F55" s="760"/>
      <c r="G55" s="760"/>
      <c r="H55" s="760"/>
      <c r="I55" s="760"/>
      <c r="J55" s="760"/>
      <c r="K55" s="760"/>
      <c r="L55" s="760"/>
      <c r="M55" s="760"/>
      <c r="N55" s="760"/>
      <c r="O55" s="760"/>
      <c r="P55" s="760"/>
      <c r="Q55" s="760"/>
      <c r="R55" s="760"/>
      <c r="S55" s="760"/>
      <c r="T55" s="760"/>
    </row>
  </sheetData>
  <mergeCells count="23">
    <mergeCell ref="T28:T29"/>
    <mergeCell ref="C40:D40"/>
    <mergeCell ref="E40:F40"/>
    <mergeCell ref="A28:A29"/>
    <mergeCell ref="B28:B29"/>
    <mergeCell ref="C28:R28"/>
    <mergeCell ref="S28:S29"/>
    <mergeCell ref="S45:S46"/>
    <mergeCell ref="T45:T46"/>
    <mergeCell ref="A2:J2"/>
    <mergeCell ref="A45:A46"/>
    <mergeCell ref="B45:B46"/>
    <mergeCell ref="C45:R45"/>
    <mergeCell ref="A5:A6"/>
    <mergeCell ref="B5:B6"/>
    <mergeCell ref="C5:R5"/>
    <mergeCell ref="S5:S6"/>
    <mergeCell ref="T5:T6"/>
    <mergeCell ref="A16:A17"/>
    <mergeCell ref="B16:B17"/>
    <mergeCell ref="C16:R16"/>
    <mergeCell ref="S16:S17"/>
    <mergeCell ref="T16:T17"/>
  </mergeCells>
  <phoneticPr fontId="2" type="noConversion"/>
  <pageMargins left="0.75" right="0.75" top="1" bottom="1" header="0" footer="0"/>
  <pageSetup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26"/>
  <dimension ref="A1:T17"/>
  <sheetViews>
    <sheetView workbookViewId="0">
      <selection activeCell="A6" sqref="A6:S17"/>
    </sheetView>
  </sheetViews>
  <sheetFormatPr defaultColWidth="10.7109375" defaultRowHeight="13.15"/>
  <cols>
    <col min="1" max="1" width="4.140625" customWidth="1"/>
    <col min="2" max="2" width="20.42578125" customWidth="1"/>
    <col min="3" max="18" width="7.42578125" customWidth="1"/>
    <col min="19" max="19" width="8" customWidth="1"/>
    <col min="20" max="20" width="8.7109375" customWidth="1"/>
  </cols>
  <sheetData>
    <row r="1" spans="1:2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7.45">
      <c r="A2" s="952" t="e">
        <f>"RESUMEN DE COSTOS "&amp;CHOOSE(Te,"(Precios Privados)","(Precios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>
      <c r="A5" s="1067" t="s">
        <v>529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>
      <c r="A6" s="951" t="s">
        <v>487</v>
      </c>
      <c r="B6" s="1074" t="s">
        <v>488</v>
      </c>
      <c r="C6" s="1075" t="s">
        <v>530</v>
      </c>
      <c r="D6" s="1075"/>
      <c r="E6" s="1075"/>
      <c r="F6" s="1075"/>
      <c r="G6" s="1075"/>
      <c r="H6" s="1075"/>
      <c r="I6" s="1075"/>
      <c r="J6" s="1075"/>
      <c r="K6" s="1075"/>
      <c r="L6" s="1075"/>
      <c r="M6" s="1075"/>
      <c r="N6" s="1075"/>
      <c r="O6" s="1075"/>
      <c r="P6" s="1075"/>
      <c r="Q6" s="1075"/>
      <c r="R6" s="1075"/>
      <c r="S6" s="1074" t="s">
        <v>18</v>
      </c>
      <c r="T6" s="1074" t="s">
        <v>107</v>
      </c>
    </row>
    <row r="7" spans="1:20">
      <c r="A7" s="951"/>
      <c r="B7" s="1074"/>
      <c r="C7" s="1076" t="e">
        <f>#REF!</f>
        <v>#REF!</v>
      </c>
      <c r="D7" s="1076" t="e">
        <f>#REF!</f>
        <v>#REF!</v>
      </c>
      <c r="E7" s="1076" t="e">
        <f>#REF!</f>
        <v>#REF!</v>
      </c>
      <c r="F7" s="1076" t="e">
        <f>#REF!</f>
        <v>#REF!</v>
      </c>
      <c r="G7" s="1076" t="e">
        <f>#REF!</f>
        <v>#REF!</v>
      </c>
      <c r="H7" s="1076" t="e">
        <f>#REF!</f>
        <v>#REF!</v>
      </c>
      <c r="I7" s="1076" t="e">
        <f>#REF!</f>
        <v>#REF!</v>
      </c>
      <c r="J7" s="1076" t="e">
        <f>#REF!</f>
        <v>#REF!</v>
      </c>
      <c r="K7" s="1076" t="e">
        <f>#REF!</f>
        <v>#REF!</v>
      </c>
      <c r="L7" s="1076" t="e">
        <f>#REF!</f>
        <v>#REF!</v>
      </c>
      <c r="M7" s="1076" t="e">
        <f>#REF!</f>
        <v>#REF!</v>
      </c>
      <c r="N7" s="1076" t="e">
        <f>#REF!</f>
        <v>#REF!</v>
      </c>
      <c r="O7" s="1076" t="e">
        <f>#REF!</f>
        <v>#REF!</v>
      </c>
      <c r="P7" s="1076" t="e">
        <f>#REF!</f>
        <v>#REF!</v>
      </c>
      <c r="Q7" s="1076" t="e">
        <f>#REF!</f>
        <v>#REF!</v>
      </c>
      <c r="R7" s="1076" t="e">
        <f>#REF!</f>
        <v>#REF!</v>
      </c>
      <c r="S7" s="1074"/>
      <c r="T7" s="1074"/>
    </row>
    <row r="8" spans="1:20" ht="26.25" customHeight="1">
      <c r="A8" s="45" t="e">
        <f>#REF!</f>
        <v>#REF!</v>
      </c>
      <c r="B8" s="73" t="s">
        <v>531</v>
      </c>
      <c r="C8" s="119" t="e">
        <f>'Resumen Inv'!C26/Mil</f>
        <v>#REF!</v>
      </c>
      <c r="D8" s="119" t="e">
        <f>'Resumen Inv'!D26/Mil</f>
        <v>#REF!</v>
      </c>
      <c r="E8" s="119" t="e">
        <f>'Resumen Inv'!E26/Mil</f>
        <v>#REF!</v>
      </c>
      <c r="F8" s="119" t="e">
        <f>'Resumen Inv'!F26/Mil</f>
        <v>#REF!</v>
      </c>
      <c r="G8" s="119" t="e">
        <f>'Resumen Inv'!G26/Mil</f>
        <v>#REF!</v>
      </c>
      <c r="H8" s="119" t="e">
        <f>'Resumen Inv'!H26/Mil</f>
        <v>#REF!</v>
      </c>
      <c r="I8" s="119" t="e">
        <f>'Resumen Inv'!I26/Mil</f>
        <v>#REF!</v>
      </c>
      <c r="J8" s="119" t="e">
        <f>'Resumen Inv'!J26/Mil</f>
        <v>#REF!</v>
      </c>
      <c r="K8" s="119" t="e">
        <f>'Resumen Inv'!K26/Mil</f>
        <v>#REF!</v>
      </c>
      <c r="L8" s="119" t="e">
        <f>'Resumen Inv'!L26/Mil</f>
        <v>#REF!</v>
      </c>
      <c r="M8" s="119" t="e">
        <f>'Resumen Inv'!M26/Mil</f>
        <v>#REF!</v>
      </c>
      <c r="N8" s="119" t="e">
        <f>'Resumen Inv'!N26/Mil</f>
        <v>#REF!</v>
      </c>
      <c r="O8" s="119" t="e">
        <f>'Resumen Inv'!O26/Mil</f>
        <v>#REF!</v>
      </c>
      <c r="P8" s="119" t="e">
        <f>'Resumen Inv'!P26/Mil</f>
        <v>#REF!</v>
      </c>
      <c r="Q8" s="119" t="e">
        <f>'Resumen Inv'!Q26/Mil</f>
        <v>#REF!</v>
      </c>
      <c r="R8" s="119" t="e">
        <f>'Resumen Inv'!R26/Mil</f>
        <v>#REF!</v>
      </c>
      <c r="S8" s="1081" t="e">
        <f>SUM(C8:R8)</f>
        <v>#REF!</v>
      </c>
      <c r="T8" s="120" t="e">
        <f>S8/$S$11</f>
        <v>#REF!</v>
      </c>
    </row>
    <row r="9" spans="1:20" ht="26.25" customHeight="1">
      <c r="A9" s="45">
        <v>2</v>
      </c>
      <c r="B9" s="73" t="s">
        <v>532</v>
      </c>
      <c r="C9" s="119" t="e">
        <f>'Resumen Inv'!C38/Mil</f>
        <v>#REF!</v>
      </c>
      <c r="D9" s="119" t="e">
        <f>'Resumen Inv'!D38/Mil</f>
        <v>#REF!</v>
      </c>
      <c r="E9" s="119" t="e">
        <f>'Resumen Inv'!E38/Mil</f>
        <v>#REF!</v>
      </c>
      <c r="F9" s="119" t="e">
        <f>'Resumen Inv'!F38/Mil</f>
        <v>#REF!</v>
      </c>
      <c r="G9" s="119" t="e">
        <f>'Resumen Inv'!G38/Mil</f>
        <v>#REF!</v>
      </c>
      <c r="H9" s="119" t="e">
        <f>'Resumen Inv'!H38/Mil</f>
        <v>#REF!</v>
      </c>
      <c r="I9" s="119" t="e">
        <f>'Resumen Inv'!I38/Mil</f>
        <v>#REF!</v>
      </c>
      <c r="J9" s="119" t="e">
        <f>'Resumen Inv'!J38/Mil</f>
        <v>#REF!</v>
      </c>
      <c r="K9" s="119" t="e">
        <f>'Resumen Inv'!K38/Mil</f>
        <v>#REF!</v>
      </c>
      <c r="L9" s="119" t="e">
        <f>'Resumen Inv'!L38/Mil</f>
        <v>#REF!</v>
      </c>
      <c r="M9" s="119" t="e">
        <f>'Resumen Inv'!M38/Mil</f>
        <v>#REF!</v>
      </c>
      <c r="N9" s="119" t="e">
        <f>'Resumen Inv'!N38/Mil</f>
        <v>#REF!</v>
      </c>
      <c r="O9" s="119" t="e">
        <f>'Resumen Inv'!O38/Mil</f>
        <v>#REF!</v>
      </c>
      <c r="P9" s="119" t="e">
        <f>'Resumen Inv'!P38/Mil</f>
        <v>#REF!</v>
      </c>
      <c r="Q9" s="119" t="e">
        <f>'Resumen Inv'!Q38/Mil</f>
        <v>#REF!</v>
      </c>
      <c r="R9" s="119" t="e">
        <f>'Resumen Inv'!R38/Mil</f>
        <v>#REF!</v>
      </c>
      <c r="S9" s="1081" t="e">
        <f>SUM(C9:R9)</f>
        <v>#REF!</v>
      </c>
      <c r="T9" s="120" t="e">
        <f>S9/$S$11</f>
        <v>#REF!</v>
      </c>
    </row>
    <row r="10" spans="1:20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25.5" customHeight="1">
      <c r="A11" s="23"/>
      <c r="B11" s="1124" t="s">
        <v>533</v>
      </c>
      <c r="C11" s="1081" t="e">
        <f>SUM(C8:C9)</f>
        <v>#REF!</v>
      </c>
      <c r="D11" s="1081" t="e">
        <f t="shared" ref="D11:S11" si="0">SUM(D8:D9)</f>
        <v>#REF!</v>
      </c>
      <c r="E11" s="1081" t="e">
        <f t="shared" si="0"/>
        <v>#REF!</v>
      </c>
      <c r="F11" s="1081" t="e">
        <f t="shared" si="0"/>
        <v>#REF!</v>
      </c>
      <c r="G11" s="1081" t="e">
        <f t="shared" si="0"/>
        <v>#REF!</v>
      </c>
      <c r="H11" s="1081" t="e">
        <f t="shared" si="0"/>
        <v>#REF!</v>
      </c>
      <c r="I11" s="1081" t="e">
        <f t="shared" si="0"/>
        <v>#REF!</v>
      </c>
      <c r="J11" s="1081" t="e">
        <f t="shared" si="0"/>
        <v>#REF!</v>
      </c>
      <c r="K11" s="1081" t="e">
        <f t="shared" si="0"/>
        <v>#REF!</v>
      </c>
      <c r="L11" s="1081" t="e">
        <f t="shared" si="0"/>
        <v>#REF!</v>
      </c>
      <c r="M11" s="1081" t="e">
        <f t="shared" si="0"/>
        <v>#REF!</v>
      </c>
      <c r="N11" s="1081" t="e">
        <f t="shared" si="0"/>
        <v>#REF!</v>
      </c>
      <c r="O11" s="1081" t="e">
        <f t="shared" si="0"/>
        <v>#REF!</v>
      </c>
      <c r="P11" s="1081" t="e">
        <f t="shared" si="0"/>
        <v>#REF!</v>
      </c>
      <c r="Q11" s="1081" t="e">
        <f t="shared" si="0"/>
        <v>#REF!</v>
      </c>
      <c r="R11" s="1081" t="e">
        <f t="shared" si="0"/>
        <v>#REF!</v>
      </c>
      <c r="S11" s="1081" t="e">
        <f t="shared" si="0"/>
        <v>#REF!</v>
      </c>
      <c r="T11" s="1082" t="e">
        <f>S11/$S$15</f>
        <v>#REF!</v>
      </c>
    </row>
    <row r="12" spans="1:20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0" ht="26.25" customHeight="1">
      <c r="A13" s="45">
        <v>3</v>
      </c>
      <c r="B13" s="73" t="s">
        <v>534</v>
      </c>
      <c r="C13" s="119" t="e">
        <f>'Resumen OyM'!C37</f>
        <v>#REF!</v>
      </c>
      <c r="D13" s="119" t="e">
        <f>'Resumen OyM'!D37</f>
        <v>#REF!</v>
      </c>
      <c r="E13" s="119" t="e">
        <f>'Resumen OyM'!E37</f>
        <v>#REF!</v>
      </c>
      <c r="F13" s="119" t="e">
        <f>'Resumen OyM'!F37</f>
        <v>#REF!</v>
      </c>
      <c r="G13" s="119" t="e">
        <f>'Resumen OyM'!G37</f>
        <v>#REF!</v>
      </c>
      <c r="H13" s="119" t="e">
        <f>'Resumen OyM'!H37</f>
        <v>#REF!</v>
      </c>
      <c r="I13" s="119" t="e">
        <f>'Resumen OyM'!I37</f>
        <v>#REF!</v>
      </c>
      <c r="J13" s="119" t="e">
        <f>'Resumen OyM'!J37</f>
        <v>#REF!</v>
      </c>
      <c r="K13" s="119" t="e">
        <f>'Resumen OyM'!K37</f>
        <v>#REF!</v>
      </c>
      <c r="L13" s="119" t="e">
        <f>'Resumen OyM'!L37</f>
        <v>#REF!</v>
      </c>
      <c r="M13" s="119" t="e">
        <f>'Resumen OyM'!M37</f>
        <v>#REF!</v>
      </c>
      <c r="N13" s="119" t="e">
        <f>'Resumen OyM'!N37</f>
        <v>#REF!</v>
      </c>
      <c r="O13" s="119" t="e">
        <f>'Resumen OyM'!O37</f>
        <v>#REF!</v>
      </c>
      <c r="P13" s="119" t="e">
        <f>'Resumen OyM'!P37</f>
        <v>#REF!</v>
      </c>
      <c r="Q13" s="119" t="e">
        <f>'Resumen OyM'!Q37</f>
        <v>#REF!</v>
      </c>
      <c r="R13" s="119" t="e">
        <f>'Resumen OyM'!R37</f>
        <v>#REF!</v>
      </c>
      <c r="S13" s="119" t="e">
        <f>SUM(C13:R13)</f>
        <v>#REF!</v>
      </c>
      <c r="T13" s="1082" t="e">
        <f>S13/$S$15</f>
        <v>#REF!</v>
      </c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25.5" customHeight="1">
      <c r="A15" s="23"/>
      <c r="B15" s="1124" t="s">
        <v>535</v>
      </c>
      <c r="C15" s="1081" t="e">
        <f>C11+C13</f>
        <v>#REF!</v>
      </c>
      <c r="D15" s="1081" t="e">
        <f t="shared" ref="D15:S15" si="1">D11+D13</f>
        <v>#REF!</v>
      </c>
      <c r="E15" s="1081" t="e">
        <f t="shared" si="1"/>
        <v>#REF!</v>
      </c>
      <c r="F15" s="1081" t="e">
        <f t="shared" si="1"/>
        <v>#REF!</v>
      </c>
      <c r="G15" s="1081" t="e">
        <f t="shared" si="1"/>
        <v>#REF!</v>
      </c>
      <c r="H15" s="1081" t="e">
        <f t="shared" si="1"/>
        <v>#REF!</v>
      </c>
      <c r="I15" s="1081" t="e">
        <f t="shared" si="1"/>
        <v>#REF!</v>
      </c>
      <c r="J15" s="1081" t="e">
        <f t="shared" si="1"/>
        <v>#REF!</v>
      </c>
      <c r="K15" s="1081" t="e">
        <f t="shared" si="1"/>
        <v>#REF!</v>
      </c>
      <c r="L15" s="1081" t="e">
        <f t="shared" si="1"/>
        <v>#REF!</v>
      </c>
      <c r="M15" s="1081" t="e">
        <f t="shared" si="1"/>
        <v>#REF!</v>
      </c>
      <c r="N15" s="1081" t="e">
        <f t="shared" si="1"/>
        <v>#REF!</v>
      </c>
      <c r="O15" s="1081" t="e">
        <f t="shared" si="1"/>
        <v>#REF!</v>
      </c>
      <c r="P15" s="1081" t="e">
        <f t="shared" si="1"/>
        <v>#REF!</v>
      </c>
      <c r="Q15" s="1081" t="e">
        <f t="shared" si="1"/>
        <v>#REF!</v>
      </c>
      <c r="R15" s="1081" t="e">
        <f t="shared" si="1"/>
        <v>#REF!</v>
      </c>
      <c r="S15" s="1081" t="e">
        <f t="shared" si="1"/>
        <v>#REF!</v>
      </c>
      <c r="T15" s="1082" t="e">
        <f>S15/$S$15</f>
        <v>#REF!</v>
      </c>
    </row>
    <row r="16" spans="1:20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ht="26.25" customHeight="1">
      <c r="A17" s="23"/>
      <c r="B17" s="1110" t="s">
        <v>536</v>
      </c>
      <c r="C17" s="1120" t="e">
        <f>NPV(TSD,D15:R15)+C15</f>
        <v>#REF!</v>
      </c>
      <c r="D17" s="1120"/>
      <c r="E17" s="1121" t="s">
        <v>527</v>
      </c>
      <c r="F17" s="1122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</sheetData>
  <mergeCells count="8">
    <mergeCell ref="S6:S7"/>
    <mergeCell ref="T6:T7"/>
    <mergeCell ref="C17:D17"/>
    <mergeCell ref="A2:J2"/>
    <mergeCell ref="A6:A7"/>
    <mergeCell ref="B6:B7"/>
    <mergeCell ref="C6:R6"/>
    <mergeCell ref="E17:F17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27"/>
  <dimension ref="A1:T15"/>
  <sheetViews>
    <sheetView workbookViewId="0">
      <selection activeCell="A6" sqref="A6:T15"/>
    </sheetView>
  </sheetViews>
  <sheetFormatPr defaultColWidth="10.7109375" defaultRowHeight="13.15"/>
  <cols>
    <col min="1" max="1" width="4.140625" customWidth="1"/>
    <col min="2" max="2" width="20.42578125" customWidth="1"/>
    <col min="3" max="18" width="9.7109375" customWidth="1"/>
    <col min="19" max="19" width="11.140625" customWidth="1"/>
    <col min="20" max="20" width="8.28515625" customWidth="1"/>
  </cols>
  <sheetData>
    <row r="1" spans="1:2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7.45">
      <c r="A2" s="952" t="e">
        <f>"RESUMEN DE BENEFICIOS "&amp;CHOOSE(Te,"(Precios Sociales)","(Precios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>
      <c r="A5" s="1067" t="s">
        <v>537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>
      <c r="A6" s="951" t="s">
        <v>487</v>
      </c>
      <c r="B6" s="1074" t="s">
        <v>488</v>
      </c>
      <c r="C6" s="1075" t="s">
        <v>530</v>
      </c>
      <c r="D6" s="1075"/>
      <c r="E6" s="1075"/>
      <c r="F6" s="1075"/>
      <c r="G6" s="1075"/>
      <c r="H6" s="1075"/>
      <c r="I6" s="1075"/>
      <c r="J6" s="1075"/>
      <c r="K6" s="1075"/>
      <c r="L6" s="1075"/>
      <c r="M6" s="1075"/>
      <c r="N6" s="1075"/>
      <c r="O6" s="1075"/>
      <c r="P6" s="1075"/>
      <c r="Q6" s="1075"/>
      <c r="R6" s="1075"/>
      <c r="S6" s="1074" t="s">
        <v>18</v>
      </c>
      <c r="T6" s="1074" t="s">
        <v>107</v>
      </c>
    </row>
    <row r="7" spans="1:20">
      <c r="A7" s="951"/>
      <c r="B7" s="1074"/>
      <c r="C7" s="1076" t="e">
        <f>#REF!</f>
        <v>#REF!</v>
      </c>
      <c r="D7" s="1076" t="e">
        <f>#REF!</f>
        <v>#REF!</v>
      </c>
      <c r="E7" s="1076" t="e">
        <f>#REF!</f>
        <v>#REF!</v>
      </c>
      <c r="F7" s="1076" t="e">
        <f>#REF!</f>
        <v>#REF!</v>
      </c>
      <c r="G7" s="1076" t="e">
        <f>#REF!</f>
        <v>#REF!</v>
      </c>
      <c r="H7" s="1076" t="e">
        <f>#REF!</f>
        <v>#REF!</v>
      </c>
      <c r="I7" s="1076" t="e">
        <f>#REF!</f>
        <v>#REF!</v>
      </c>
      <c r="J7" s="1076" t="e">
        <f>#REF!</f>
        <v>#REF!</v>
      </c>
      <c r="K7" s="1076" t="e">
        <f>#REF!</f>
        <v>#REF!</v>
      </c>
      <c r="L7" s="1076" t="e">
        <f>#REF!</f>
        <v>#REF!</v>
      </c>
      <c r="M7" s="1076" t="e">
        <f>#REF!</f>
        <v>#REF!</v>
      </c>
      <c r="N7" s="1076" t="e">
        <f>#REF!</f>
        <v>#REF!</v>
      </c>
      <c r="O7" s="1076" t="e">
        <f>#REF!</f>
        <v>#REF!</v>
      </c>
      <c r="P7" s="1076" t="e">
        <f>#REF!</f>
        <v>#REF!</v>
      </c>
      <c r="Q7" s="1076" t="e">
        <f>#REF!</f>
        <v>#REF!</v>
      </c>
      <c r="R7" s="1076" t="e">
        <f>#REF!</f>
        <v>#REF!</v>
      </c>
      <c r="S7" s="1074"/>
      <c r="T7" s="1074"/>
    </row>
    <row r="8" spans="1:20" ht="26.25" customHeight="1">
      <c r="A8" s="45">
        <v>1</v>
      </c>
      <c r="B8" s="73" t="s">
        <v>538</v>
      </c>
      <c r="C8" s="119" t="e">
        <f>#REF!/Mil</f>
        <v>#REF!</v>
      </c>
      <c r="D8" s="119" t="e">
        <f>#REF!/Mil</f>
        <v>#REF!</v>
      </c>
      <c r="E8" s="119" t="e">
        <f>#REF!/Mil</f>
        <v>#REF!</v>
      </c>
      <c r="F8" s="119" t="e">
        <f>#REF!/Mil</f>
        <v>#REF!</v>
      </c>
      <c r="G8" s="119" t="e">
        <f>#REF!/Mil</f>
        <v>#REF!</v>
      </c>
      <c r="H8" s="119" t="e">
        <f>#REF!/Mil</f>
        <v>#REF!</v>
      </c>
      <c r="I8" s="119" t="e">
        <f>#REF!/Mil</f>
        <v>#REF!</v>
      </c>
      <c r="J8" s="119" t="e">
        <f>#REF!/Mil</f>
        <v>#REF!</v>
      </c>
      <c r="K8" s="119" t="e">
        <f>#REF!/Mil</f>
        <v>#REF!</v>
      </c>
      <c r="L8" s="119" t="e">
        <f>#REF!/Mil</f>
        <v>#REF!</v>
      </c>
      <c r="M8" s="119" t="e">
        <f>#REF!/Mil</f>
        <v>#REF!</v>
      </c>
      <c r="N8" s="119" t="e">
        <f>#REF!/Mil</f>
        <v>#REF!</v>
      </c>
      <c r="O8" s="119" t="e">
        <f>#REF!/Mil</f>
        <v>#REF!</v>
      </c>
      <c r="P8" s="119" t="e">
        <f>#REF!/Mil</f>
        <v>#REF!</v>
      </c>
      <c r="Q8" s="119" t="e">
        <f>#REF!/Mil</f>
        <v>#REF!</v>
      </c>
      <c r="R8" s="119" t="e">
        <f>#REF!/Mil</f>
        <v>#REF!</v>
      </c>
      <c r="S8" s="1081" t="e">
        <f>SUM(C8:R8)</f>
        <v>#REF!</v>
      </c>
      <c r="T8" s="120" t="e">
        <f>S8/S8</f>
        <v>#REF!</v>
      </c>
    </row>
    <row r="9" spans="1:20" ht="26.25" customHeight="1">
      <c r="A9" s="45">
        <v>2</v>
      </c>
      <c r="B9" s="73" t="s">
        <v>539</v>
      </c>
      <c r="C9" s="119" t="e">
        <f>#REF!/Mil</f>
        <v>#REF!</v>
      </c>
      <c r="D9" s="119" t="e">
        <f>#REF!/Mil</f>
        <v>#REF!</v>
      </c>
      <c r="E9" s="119" t="e">
        <f>#REF!/Mil</f>
        <v>#REF!</v>
      </c>
      <c r="F9" s="119" t="e">
        <f>#REF!/Mil</f>
        <v>#REF!</v>
      </c>
      <c r="G9" s="119" t="e">
        <f>#REF!/Mil</f>
        <v>#REF!</v>
      </c>
      <c r="H9" s="119" t="e">
        <f>#REF!/Mil</f>
        <v>#REF!</v>
      </c>
      <c r="I9" s="119" t="e">
        <f>#REF!/Mil</f>
        <v>#REF!</v>
      </c>
      <c r="J9" s="119" t="e">
        <f>#REF!/Mil</f>
        <v>#REF!</v>
      </c>
      <c r="K9" s="119" t="e">
        <f>#REF!/Mil</f>
        <v>#REF!</v>
      </c>
      <c r="L9" s="119" t="e">
        <f>#REF!/Mil</f>
        <v>#REF!</v>
      </c>
      <c r="M9" s="119" t="e">
        <f>#REF!/Mil</f>
        <v>#REF!</v>
      </c>
      <c r="N9" s="119" t="e">
        <f>#REF!/Mil</f>
        <v>#REF!</v>
      </c>
      <c r="O9" s="119" t="e">
        <f>#REF!/Mil</f>
        <v>#REF!</v>
      </c>
      <c r="P9" s="119" t="e">
        <f>#REF!/Mil</f>
        <v>#REF!</v>
      </c>
      <c r="Q9" s="119" t="e">
        <f>#REF!/Mil</f>
        <v>#REF!</v>
      </c>
      <c r="R9" s="119" t="e">
        <f>#REF!/Mil</f>
        <v>#REF!</v>
      </c>
      <c r="S9" s="1081" t="e">
        <f>SUM(C9:R9)</f>
        <v>#REF!</v>
      </c>
      <c r="T9" s="120" t="e">
        <f>S9/S8</f>
        <v>#REF!</v>
      </c>
    </row>
    <row r="10" spans="1:20" ht="26.25" customHeight="1">
      <c r="A10" s="45">
        <v>3</v>
      </c>
      <c r="B10" s="73" t="s">
        <v>540</v>
      </c>
      <c r="C10" s="119" t="e">
        <f>#REF!/Mil</f>
        <v>#REF!</v>
      </c>
      <c r="D10" s="119" t="e">
        <f>#REF!/Mil</f>
        <v>#REF!</v>
      </c>
      <c r="E10" s="119" t="e">
        <f>#REF!/Mil</f>
        <v>#REF!</v>
      </c>
      <c r="F10" s="119" t="e">
        <f>#REF!/Mil</f>
        <v>#REF!</v>
      </c>
      <c r="G10" s="119" t="e">
        <f>#REF!/Mil</f>
        <v>#REF!</v>
      </c>
      <c r="H10" s="119" t="e">
        <f>#REF!/Mil</f>
        <v>#REF!</v>
      </c>
      <c r="I10" s="119" t="e">
        <f>#REF!/Mil</f>
        <v>#REF!</v>
      </c>
      <c r="J10" s="119" t="e">
        <f>#REF!/Mil</f>
        <v>#REF!</v>
      </c>
      <c r="K10" s="119" t="e">
        <f>#REF!/Mil</f>
        <v>#REF!</v>
      </c>
      <c r="L10" s="119" t="e">
        <f>#REF!/Mil</f>
        <v>#REF!</v>
      </c>
      <c r="M10" s="119" t="e">
        <f>#REF!/Mil</f>
        <v>#REF!</v>
      </c>
      <c r="N10" s="119" t="e">
        <f>#REF!/Mil</f>
        <v>#REF!</v>
      </c>
      <c r="O10" s="119" t="e">
        <f>#REF!/Mil</f>
        <v>#REF!</v>
      </c>
      <c r="P10" s="119" t="e">
        <f>#REF!/Mil</f>
        <v>#REF!</v>
      </c>
      <c r="Q10" s="119" t="e">
        <f>#REF!/Mil</f>
        <v>#REF!</v>
      </c>
      <c r="R10" s="119" t="e">
        <f>#REF!/Mil</f>
        <v>#REF!</v>
      </c>
      <c r="S10" s="1081" t="e">
        <f>SUM(C10:R10)</f>
        <v>#REF!</v>
      </c>
      <c r="T10" s="120" t="e">
        <f>S10/S8</f>
        <v>#REF!</v>
      </c>
    </row>
    <row r="11" spans="1:20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ht="25.5" customHeight="1">
      <c r="A12" s="23"/>
      <c r="B12" s="1124" t="s">
        <v>541</v>
      </c>
      <c r="C12" s="1081" t="e">
        <f>#REF!/Millon</f>
        <v>#REF!</v>
      </c>
      <c r="D12" s="1081" t="e">
        <f>#REF!/Millon</f>
        <v>#REF!</v>
      </c>
      <c r="E12" s="1081" t="e">
        <f>#REF!/Millon</f>
        <v>#REF!</v>
      </c>
      <c r="F12" s="1081" t="e">
        <f>#REF!/Millon</f>
        <v>#REF!</v>
      </c>
      <c r="G12" s="1081" t="e">
        <f>#REF!/Millon</f>
        <v>#REF!</v>
      </c>
      <c r="H12" s="1081" t="e">
        <f>#REF!/Millon</f>
        <v>#REF!</v>
      </c>
      <c r="I12" s="1081" t="e">
        <f>#REF!/Millon</f>
        <v>#REF!</v>
      </c>
      <c r="J12" s="1081" t="e">
        <f>#REF!/Millon</f>
        <v>#REF!</v>
      </c>
      <c r="K12" s="1081" t="e">
        <f>#REF!/Millon</f>
        <v>#REF!</v>
      </c>
      <c r="L12" s="1081" t="e">
        <f>#REF!/Millon</f>
        <v>#REF!</v>
      </c>
      <c r="M12" s="1081" t="e">
        <f>#REF!/Millon</f>
        <v>#REF!</v>
      </c>
      <c r="N12" s="1081" t="e">
        <f>#REF!/Millon</f>
        <v>#REF!</v>
      </c>
      <c r="O12" s="1081" t="e">
        <f>#REF!/Millon</f>
        <v>#REF!</v>
      </c>
      <c r="P12" s="1081" t="e">
        <f>#REF!/Millon</f>
        <v>#REF!</v>
      </c>
      <c r="Q12" s="1081" t="e">
        <f>#REF!/Millon</f>
        <v>#REF!</v>
      </c>
      <c r="R12" s="1081" t="e">
        <f>#REF!/Millon</f>
        <v>#REF!</v>
      </c>
      <c r="S12" s="1081" t="e">
        <f>SUM(C12:R12)</f>
        <v>#REF!</v>
      </c>
      <c r="T12" s="1082" t="e">
        <f>S12/S8</f>
        <v>#REF!</v>
      </c>
    </row>
    <row r="13" spans="1:20" ht="4.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ht="4.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26.25" customHeight="1">
      <c r="A15" s="23"/>
      <c r="B15" s="1110" t="s">
        <v>542</v>
      </c>
      <c r="C15" s="1120" t="e">
        <f>NPV(TSD,D12:R12)+C12</f>
        <v>#REF!</v>
      </c>
      <c r="D15" s="1120"/>
      <c r="E15" s="1080" t="s">
        <v>527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</sheetData>
  <mergeCells count="7">
    <mergeCell ref="S6:S7"/>
    <mergeCell ref="T6:T7"/>
    <mergeCell ref="C15:D15"/>
    <mergeCell ref="A2:J2"/>
    <mergeCell ref="A6:A7"/>
    <mergeCell ref="B6:B7"/>
    <mergeCell ref="C6:R6"/>
  </mergeCells>
  <phoneticPr fontId="2" type="noConversion"/>
  <pageMargins left="0.75" right="0.75" top="1" bottom="1" header="0" footer="0"/>
  <pageSetup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8"/>
  <dimension ref="A1:S22"/>
  <sheetViews>
    <sheetView workbookViewId="0">
      <selection activeCell="A6" sqref="A6:S20"/>
    </sheetView>
  </sheetViews>
  <sheetFormatPr defaultColWidth="10.7109375" defaultRowHeight="13.15"/>
  <cols>
    <col min="1" max="1" width="5.42578125" customWidth="1"/>
    <col min="2" max="2" width="22" customWidth="1"/>
    <col min="3" max="18" width="9" customWidth="1"/>
    <col min="19" max="19" width="10.42578125" customWidth="1"/>
  </cols>
  <sheetData>
    <row r="1" spans="1:19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7.45">
      <c r="A2" s="952" t="e">
        <f>"RESUMEN DE BENEFICIOS NETOS "&amp;CHOOSE(Te,"(Precios Privados)","(Precios Sociales)")</f>
        <v>#REF!</v>
      </c>
      <c r="B2" s="952"/>
      <c r="C2" s="952"/>
      <c r="D2" s="952"/>
      <c r="E2" s="952"/>
      <c r="F2" s="952"/>
      <c r="G2" s="952"/>
      <c r="H2" s="952"/>
      <c r="I2" s="952"/>
      <c r="J2" s="952"/>
      <c r="K2" s="41"/>
      <c r="L2" s="41"/>
      <c r="M2" s="41"/>
      <c r="N2" s="41"/>
      <c r="O2" s="41"/>
      <c r="P2" s="41"/>
      <c r="Q2" s="41"/>
      <c r="R2" s="41"/>
      <c r="S2" s="41"/>
    </row>
    <row r="3" spans="1:19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19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</row>
    <row r="5" spans="1:19">
      <c r="A5" s="1067" t="s">
        <v>543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</row>
    <row r="6" spans="1:19">
      <c r="A6" s="951" t="s">
        <v>487</v>
      </c>
      <c r="B6" s="1074" t="s">
        <v>488</v>
      </c>
      <c r="C6" s="1075" t="s">
        <v>517</v>
      </c>
      <c r="D6" s="1075"/>
      <c r="E6" s="1075"/>
      <c r="F6" s="1075"/>
      <c r="G6" s="1075"/>
      <c r="H6" s="1075"/>
      <c r="I6" s="1075"/>
      <c r="J6" s="1075"/>
      <c r="K6" s="1075"/>
      <c r="L6" s="1075"/>
      <c r="M6" s="1075"/>
      <c r="N6" s="1075"/>
      <c r="O6" s="1075"/>
      <c r="P6" s="1075"/>
      <c r="Q6" s="1075"/>
      <c r="R6" s="1075"/>
      <c r="S6" s="1074" t="s">
        <v>18</v>
      </c>
    </row>
    <row r="7" spans="1:19">
      <c r="A7" s="951"/>
      <c r="B7" s="1074"/>
      <c r="C7" s="1076" t="e">
        <f>#REF!</f>
        <v>#REF!</v>
      </c>
      <c r="D7" s="1076" t="e">
        <f>#REF!</f>
        <v>#REF!</v>
      </c>
      <c r="E7" s="1076" t="e">
        <f>#REF!</f>
        <v>#REF!</v>
      </c>
      <c r="F7" s="1076" t="e">
        <f>#REF!</f>
        <v>#REF!</v>
      </c>
      <c r="G7" s="1076" t="e">
        <f>#REF!</f>
        <v>#REF!</v>
      </c>
      <c r="H7" s="1076" t="e">
        <f>#REF!</f>
        <v>#REF!</v>
      </c>
      <c r="I7" s="1076" t="e">
        <f>#REF!</f>
        <v>#REF!</v>
      </c>
      <c r="J7" s="1076" t="e">
        <f>#REF!</f>
        <v>#REF!</v>
      </c>
      <c r="K7" s="1076" t="e">
        <f>#REF!</f>
        <v>#REF!</v>
      </c>
      <c r="L7" s="1076" t="e">
        <f>#REF!</f>
        <v>#REF!</v>
      </c>
      <c r="M7" s="1076" t="e">
        <f>#REF!</f>
        <v>#REF!</v>
      </c>
      <c r="N7" s="1076" t="e">
        <f>#REF!</f>
        <v>#REF!</v>
      </c>
      <c r="O7" s="1076" t="e">
        <f>#REF!</f>
        <v>#REF!</v>
      </c>
      <c r="P7" s="1076" t="e">
        <f>#REF!</f>
        <v>#REF!</v>
      </c>
      <c r="Q7" s="1076" t="e">
        <f>#REF!</f>
        <v>#REF!</v>
      </c>
      <c r="R7" s="1076" t="e">
        <f>#REF!</f>
        <v>#REF!</v>
      </c>
      <c r="S7" s="1074"/>
    </row>
    <row r="8" spans="1:19" ht="25.5" customHeight="1">
      <c r="A8" s="1125" t="s">
        <v>544</v>
      </c>
      <c r="B8" s="1124" t="s">
        <v>545</v>
      </c>
      <c r="C8" s="1099" t="e">
        <f>'Resumen Beneficios'!C12</f>
        <v>#REF!</v>
      </c>
      <c r="D8" s="1099" t="e">
        <f>'Resumen Beneficios'!D12</f>
        <v>#REF!</v>
      </c>
      <c r="E8" s="1099" t="e">
        <f>'Resumen Beneficios'!E12</f>
        <v>#REF!</v>
      </c>
      <c r="F8" s="1099" t="e">
        <f>'Resumen Beneficios'!F12</f>
        <v>#REF!</v>
      </c>
      <c r="G8" s="1099" t="e">
        <f>'Resumen Beneficios'!G12</f>
        <v>#REF!</v>
      </c>
      <c r="H8" s="1099" t="e">
        <f>'Resumen Beneficios'!H12</f>
        <v>#REF!</v>
      </c>
      <c r="I8" s="1099" t="e">
        <f>'Resumen Beneficios'!I12</f>
        <v>#REF!</v>
      </c>
      <c r="J8" s="1099" t="e">
        <f>'Resumen Beneficios'!J12</f>
        <v>#REF!</v>
      </c>
      <c r="K8" s="1099" t="e">
        <f>'Resumen Beneficios'!K12</f>
        <v>#REF!</v>
      </c>
      <c r="L8" s="1099" t="e">
        <f>'Resumen Beneficios'!L12</f>
        <v>#REF!</v>
      </c>
      <c r="M8" s="1099" t="e">
        <f>'Resumen Beneficios'!M12</f>
        <v>#REF!</v>
      </c>
      <c r="N8" s="1099" t="e">
        <f>'Resumen Beneficios'!N12</f>
        <v>#REF!</v>
      </c>
      <c r="O8" s="1099" t="e">
        <f>'Resumen Beneficios'!O12</f>
        <v>#REF!</v>
      </c>
      <c r="P8" s="1099" t="e">
        <f>'Resumen Beneficios'!P12</f>
        <v>#REF!</v>
      </c>
      <c r="Q8" s="1099" t="e">
        <f>'Resumen Beneficios'!Q12</f>
        <v>#REF!</v>
      </c>
      <c r="R8" s="1099" t="e">
        <f>'Resumen Beneficios'!R12</f>
        <v>#REF!</v>
      </c>
      <c r="S8" s="1099" t="e">
        <f>SUM(C8:R8)</f>
        <v>#REF!</v>
      </c>
    </row>
    <row r="9" spans="1:19" ht="7.5" customHeight="1">
      <c r="A9" s="23"/>
      <c r="B9" s="23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</row>
    <row r="10" spans="1:19" ht="25.5" customHeight="1">
      <c r="A10" s="1080" t="s">
        <v>546</v>
      </c>
      <c r="B10" s="1124" t="s">
        <v>535</v>
      </c>
      <c r="C10" s="1099" t="e">
        <f t="shared" ref="C10:S10" si="0">C14+C16</f>
        <v>#REF!</v>
      </c>
      <c r="D10" s="1099" t="e">
        <f t="shared" si="0"/>
        <v>#REF!</v>
      </c>
      <c r="E10" s="1099" t="e">
        <f t="shared" si="0"/>
        <v>#REF!</v>
      </c>
      <c r="F10" s="1099" t="e">
        <f t="shared" si="0"/>
        <v>#REF!</v>
      </c>
      <c r="G10" s="1099" t="e">
        <f t="shared" si="0"/>
        <v>#REF!</v>
      </c>
      <c r="H10" s="1099" t="e">
        <f t="shared" si="0"/>
        <v>#REF!</v>
      </c>
      <c r="I10" s="1099" t="e">
        <f t="shared" si="0"/>
        <v>#REF!</v>
      </c>
      <c r="J10" s="1099" t="e">
        <f t="shared" si="0"/>
        <v>#REF!</v>
      </c>
      <c r="K10" s="1099" t="e">
        <f t="shared" si="0"/>
        <v>#REF!</v>
      </c>
      <c r="L10" s="1099" t="e">
        <f t="shared" si="0"/>
        <v>#REF!</v>
      </c>
      <c r="M10" s="1099" t="e">
        <f t="shared" si="0"/>
        <v>#REF!</v>
      </c>
      <c r="N10" s="1099" t="e">
        <f t="shared" si="0"/>
        <v>#REF!</v>
      </c>
      <c r="O10" s="1099" t="e">
        <f t="shared" si="0"/>
        <v>#REF!</v>
      </c>
      <c r="P10" s="1099" t="e">
        <f t="shared" si="0"/>
        <v>#REF!</v>
      </c>
      <c r="Q10" s="1099" t="e">
        <f t="shared" si="0"/>
        <v>#REF!</v>
      </c>
      <c r="R10" s="1099" t="e">
        <f t="shared" si="0"/>
        <v>#REF!</v>
      </c>
      <c r="S10" s="1099" t="e">
        <f t="shared" si="0"/>
        <v>#REF!</v>
      </c>
    </row>
    <row r="11" spans="1:19" ht="25.5" customHeight="1">
      <c r="A11" s="45" t="s">
        <v>547</v>
      </c>
      <c r="B11" s="73" t="s">
        <v>531</v>
      </c>
      <c r="C11" s="166" t="e">
        <f>'Resumen Inv'!C26/Mil</f>
        <v>#REF!</v>
      </c>
      <c r="D11" s="166" t="e">
        <f>'Resumen Inv'!D26/Mil</f>
        <v>#REF!</v>
      </c>
      <c r="E11" s="166" t="e">
        <f>'Resumen Inv'!E26/Mil</f>
        <v>#REF!</v>
      </c>
      <c r="F11" s="166" t="e">
        <f>'Resumen Inv'!F26/Mil</f>
        <v>#REF!</v>
      </c>
      <c r="G11" s="166" t="e">
        <f>'Resumen Inv'!G26/Mil</f>
        <v>#REF!</v>
      </c>
      <c r="H11" s="166" t="e">
        <f>'Resumen Inv'!H26/Mil</f>
        <v>#REF!</v>
      </c>
      <c r="I11" s="166" t="e">
        <f>'Resumen Inv'!I26/Mil</f>
        <v>#REF!</v>
      </c>
      <c r="J11" s="166" t="e">
        <f>'Resumen Inv'!J26/Mil</f>
        <v>#REF!</v>
      </c>
      <c r="K11" s="166" t="e">
        <f>'Resumen Inv'!K26/Mil</f>
        <v>#REF!</v>
      </c>
      <c r="L11" s="166" t="e">
        <f>'Resumen Inv'!L26/Mil</f>
        <v>#REF!</v>
      </c>
      <c r="M11" s="166" t="e">
        <f>'Resumen Inv'!M26/Mil</f>
        <v>#REF!</v>
      </c>
      <c r="N11" s="166" t="e">
        <f>'Resumen Inv'!N26/Mil</f>
        <v>#REF!</v>
      </c>
      <c r="O11" s="166" t="e">
        <f>'Resumen Inv'!O26/Mil</f>
        <v>#REF!</v>
      </c>
      <c r="P11" s="166" t="e">
        <f>'Resumen Inv'!P26/Mil</f>
        <v>#REF!</v>
      </c>
      <c r="Q11" s="166" t="e">
        <f>'Resumen Inv'!Q26/Mil</f>
        <v>#REF!</v>
      </c>
      <c r="R11" s="166" t="e">
        <f>'Resumen Inv'!R26/Mil</f>
        <v>#REF!</v>
      </c>
      <c r="S11" s="1099" t="e">
        <f>SUM(C11:R11)</f>
        <v>#REF!</v>
      </c>
    </row>
    <row r="12" spans="1:19" ht="25.5" customHeight="1">
      <c r="A12" s="45" t="s">
        <v>548</v>
      </c>
      <c r="B12" s="73" t="s">
        <v>532</v>
      </c>
      <c r="C12" s="166" t="e">
        <f>'Resumen Inv'!C38/Mil</f>
        <v>#REF!</v>
      </c>
      <c r="D12" s="166" t="e">
        <f>'Resumen Inv'!D38/Mil</f>
        <v>#REF!</v>
      </c>
      <c r="E12" s="166" t="e">
        <f>'Resumen Inv'!E38/Mil</f>
        <v>#REF!</v>
      </c>
      <c r="F12" s="166" t="e">
        <f>'Resumen Inv'!F38/Mil</f>
        <v>#REF!</v>
      </c>
      <c r="G12" s="166" t="e">
        <f>'Resumen Inv'!G38/Mil</f>
        <v>#REF!</v>
      </c>
      <c r="H12" s="166" t="e">
        <f>'Resumen Inv'!H38/Mil</f>
        <v>#REF!</v>
      </c>
      <c r="I12" s="166" t="e">
        <f>'Resumen Inv'!I38/Mil</f>
        <v>#REF!</v>
      </c>
      <c r="J12" s="166" t="e">
        <f>'Resumen Inv'!J38/Mil</f>
        <v>#REF!</v>
      </c>
      <c r="K12" s="166" t="e">
        <f>'Resumen Inv'!K38/Mil</f>
        <v>#REF!</v>
      </c>
      <c r="L12" s="166" t="e">
        <f>'Resumen Inv'!L38/Mil</f>
        <v>#REF!</v>
      </c>
      <c r="M12" s="166" t="e">
        <f>'Resumen Inv'!M38/Mil</f>
        <v>#REF!</v>
      </c>
      <c r="N12" s="166" t="e">
        <f>'Resumen Inv'!N38/Mil</f>
        <v>#REF!</v>
      </c>
      <c r="O12" s="166" t="e">
        <f>'Resumen Inv'!O38/Mil</f>
        <v>#REF!</v>
      </c>
      <c r="P12" s="166" t="e">
        <f>'Resumen Inv'!P38/Mil</f>
        <v>#REF!</v>
      </c>
      <c r="Q12" s="166" t="e">
        <f>'Resumen Inv'!Q38/Mil</f>
        <v>#REF!</v>
      </c>
      <c r="R12" s="166" t="e">
        <f>'Resumen Inv'!R38/Mil</f>
        <v>#REF!</v>
      </c>
      <c r="S12" s="1099" t="e">
        <f>SUM(C12:R12)</f>
        <v>#REF!</v>
      </c>
    </row>
    <row r="13" spans="1:19" ht="7.5" customHeight="1">
      <c r="A13" s="23"/>
      <c r="B13" s="23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25.5" customHeight="1">
      <c r="A14" s="1080">
        <v>2.1</v>
      </c>
      <c r="B14" s="1124" t="s">
        <v>533</v>
      </c>
      <c r="C14" s="1099" t="e">
        <f t="shared" ref="C14:S14" si="1">SUM(C11:C12)</f>
        <v>#REF!</v>
      </c>
      <c r="D14" s="1099" t="e">
        <f t="shared" si="1"/>
        <v>#REF!</v>
      </c>
      <c r="E14" s="1099" t="e">
        <f t="shared" si="1"/>
        <v>#REF!</v>
      </c>
      <c r="F14" s="1099" t="e">
        <f t="shared" si="1"/>
        <v>#REF!</v>
      </c>
      <c r="G14" s="1099" t="e">
        <f t="shared" si="1"/>
        <v>#REF!</v>
      </c>
      <c r="H14" s="1099" t="e">
        <f t="shared" si="1"/>
        <v>#REF!</v>
      </c>
      <c r="I14" s="1099" t="e">
        <f t="shared" si="1"/>
        <v>#REF!</v>
      </c>
      <c r="J14" s="1099" t="e">
        <f t="shared" si="1"/>
        <v>#REF!</v>
      </c>
      <c r="K14" s="1099" t="e">
        <f t="shared" si="1"/>
        <v>#REF!</v>
      </c>
      <c r="L14" s="1099" t="e">
        <f t="shared" si="1"/>
        <v>#REF!</v>
      </c>
      <c r="M14" s="1099" t="e">
        <f t="shared" si="1"/>
        <v>#REF!</v>
      </c>
      <c r="N14" s="1099" t="e">
        <f t="shared" si="1"/>
        <v>#REF!</v>
      </c>
      <c r="O14" s="1099" t="e">
        <f t="shared" si="1"/>
        <v>#REF!</v>
      </c>
      <c r="P14" s="1099" t="e">
        <f t="shared" si="1"/>
        <v>#REF!</v>
      </c>
      <c r="Q14" s="1099" t="e">
        <f t="shared" si="1"/>
        <v>#REF!</v>
      </c>
      <c r="R14" s="1099" t="e">
        <f t="shared" si="1"/>
        <v>#REF!</v>
      </c>
      <c r="S14" s="1099" t="e">
        <f t="shared" si="1"/>
        <v>#REF!</v>
      </c>
    </row>
    <row r="15" spans="1:19" ht="7.5" customHeight="1">
      <c r="A15" s="23"/>
      <c r="B15" s="23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25.5" customHeight="1">
      <c r="A16" s="1080">
        <v>2.2000000000000002</v>
      </c>
      <c r="B16" s="1124" t="s">
        <v>534</v>
      </c>
      <c r="C16" s="166" t="e">
        <f>'Resumen OyM'!C37</f>
        <v>#REF!</v>
      </c>
      <c r="D16" s="166" t="e">
        <f>'Resumen OyM'!D37</f>
        <v>#REF!</v>
      </c>
      <c r="E16" s="166" t="e">
        <f>'Resumen OyM'!E37</f>
        <v>#REF!</v>
      </c>
      <c r="F16" s="166" t="e">
        <f>'Resumen OyM'!F37</f>
        <v>#REF!</v>
      </c>
      <c r="G16" s="166" t="e">
        <f>'Resumen OyM'!G37</f>
        <v>#REF!</v>
      </c>
      <c r="H16" s="166" t="e">
        <f>'Resumen OyM'!H37</f>
        <v>#REF!</v>
      </c>
      <c r="I16" s="166" t="e">
        <f>'Resumen OyM'!I37</f>
        <v>#REF!</v>
      </c>
      <c r="J16" s="166" t="e">
        <f>'Resumen OyM'!J37</f>
        <v>#REF!</v>
      </c>
      <c r="K16" s="166" t="e">
        <f>'Resumen OyM'!K37</f>
        <v>#REF!</v>
      </c>
      <c r="L16" s="166" t="e">
        <f>'Resumen OyM'!L37</f>
        <v>#REF!</v>
      </c>
      <c r="M16" s="166" t="e">
        <f>'Resumen OyM'!M37</f>
        <v>#REF!</v>
      </c>
      <c r="N16" s="166" t="e">
        <f>'Resumen OyM'!N37</f>
        <v>#REF!</v>
      </c>
      <c r="O16" s="166" t="e">
        <f>'Resumen OyM'!O37</f>
        <v>#REF!</v>
      </c>
      <c r="P16" s="166" t="e">
        <f>'Resumen OyM'!P37</f>
        <v>#REF!</v>
      </c>
      <c r="Q16" s="166" t="e">
        <f>'Resumen OyM'!Q37</f>
        <v>#REF!</v>
      </c>
      <c r="R16" s="166" t="e">
        <f>'Resumen OyM'!R37</f>
        <v>#REF!</v>
      </c>
      <c r="S16" s="1099" t="e">
        <f>SUM(C16:R16)</f>
        <v>#REF!</v>
      </c>
    </row>
    <row r="17" spans="1:19" ht="7.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 ht="25.5" customHeight="1">
      <c r="A18" s="23"/>
      <c r="B18" s="1124" t="s">
        <v>549</v>
      </c>
      <c r="C18" s="1099" t="e">
        <f>C8-C10</f>
        <v>#REF!</v>
      </c>
      <c r="D18" s="1099" t="e">
        <f t="shared" ref="D18:R18" si="2">D8-D10</f>
        <v>#REF!</v>
      </c>
      <c r="E18" s="1099" t="e">
        <f t="shared" si="2"/>
        <v>#REF!</v>
      </c>
      <c r="F18" s="1099" t="e">
        <f t="shared" si="2"/>
        <v>#REF!</v>
      </c>
      <c r="G18" s="1099" t="e">
        <f t="shared" si="2"/>
        <v>#REF!</v>
      </c>
      <c r="H18" s="1099" t="e">
        <f t="shared" si="2"/>
        <v>#REF!</v>
      </c>
      <c r="I18" s="1099" t="e">
        <f t="shared" si="2"/>
        <v>#REF!</v>
      </c>
      <c r="J18" s="1099" t="e">
        <f t="shared" si="2"/>
        <v>#REF!</v>
      </c>
      <c r="K18" s="1099" t="e">
        <f t="shared" si="2"/>
        <v>#REF!</v>
      </c>
      <c r="L18" s="1099" t="e">
        <f t="shared" si="2"/>
        <v>#REF!</v>
      </c>
      <c r="M18" s="1099" t="e">
        <f t="shared" si="2"/>
        <v>#REF!</v>
      </c>
      <c r="N18" s="1099" t="e">
        <f t="shared" si="2"/>
        <v>#REF!</v>
      </c>
      <c r="O18" s="1099" t="e">
        <f t="shared" si="2"/>
        <v>#REF!</v>
      </c>
      <c r="P18" s="1099" t="e">
        <f t="shared" si="2"/>
        <v>#REF!</v>
      </c>
      <c r="Q18" s="1099" t="e">
        <f t="shared" si="2"/>
        <v>#REF!</v>
      </c>
      <c r="R18" s="1099" t="e">
        <f t="shared" si="2"/>
        <v>#REF!</v>
      </c>
      <c r="S18" s="1099" t="e">
        <f>SUM(C18:R18)</f>
        <v>#REF!</v>
      </c>
    </row>
    <row r="19" spans="1:19" ht="21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 ht="29.25" customHeight="1">
      <c r="A20" s="23"/>
      <c r="B20" s="1110" t="s">
        <v>550</v>
      </c>
      <c r="C20" s="1120" t="e">
        <f>NPV(TSD,D18:R18)+C18</f>
        <v>#REF!</v>
      </c>
      <c r="D20" s="1120"/>
      <c r="E20" s="1080" t="s">
        <v>527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2" spans="1:19">
      <c r="A22" s="760"/>
      <c r="B22" s="760"/>
      <c r="C22" s="956"/>
      <c r="D22" s="956"/>
      <c r="E22" s="760"/>
      <c r="F22" s="760"/>
      <c r="G22" s="760"/>
      <c r="H22" s="760"/>
      <c r="I22" s="760"/>
      <c r="J22" s="760"/>
      <c r="K22" s="760"/>
      <c r="L22" s="760"/>
      <c r="M22" s="760"/>
      <c r="N22" s="760"/>
      <c r="O22" s="760"/>
      <c r="P22" s="760"/>
      <c r="Q22" s="760"/>
      <c r="R22" s="760"/>
      <c r="S22" s="760"/>
    </row>
  </sheetData>
  <mergeCells count="7">
    <mergeCell ref="C22:D22"/>
    <mergeCell ref="S6:S7"/>
    <mergeCell ref="C20:D20"/>
    <mergeCell ref="A2:J2"/>
    <mergeCell ref="A6:A7"/>
    <mergeCell ref="B6:B7"/>
    <mergeCell ref="C6:R6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"/>
  <sheetViews>
    <sheetView workbookViewId="0">
      <selection activeCell="C2" sqref="C2"/>
    </sheetView>
  </sheetViews>
  <sheetFormatPr defaultRowHeight="13.15"/>
  <cols>
    <col min="1" max="1" width="35.42578125" bestFit="1" customWidth="1"/>
    <col min="2" max="2" width="7.42578125" bestFit="1" customWidth="1"/>
    <col min="3" max="3" width="12.140625" bestFit="1" customWidth="1"/>
    <col min="4" max="4" width="9.140625" customWidth="1"/>
    <col min="5" max="5" width="2" bestFit="1" customWidth="1"/>
  </cols>
  <sheetData>
    <row r="1" spans="1:7" ht="31.15">
      <c r="A1" s="425" t="s">
        <v>108</v>
      </c>
      <c r="B1" s="426" t="s">
        <v>109</v>
      </c>
      <c r="C1" s="426" t="s">
        <v>110</v>
      </c>
      <c r="D1" s="426" t="s">
        <v>111</v>
      </c>
      <c r="E1" s="760"/>
      <c r="F1" s="760"/>
      <c r="G1" s="760"/>
    </row>
    <row r="2" spans="1:7">
      <c r="A2" s="760" t="s">
        <v>112</v>
      </c>
      <c r="B2" s="20">
        <f>454*22</f>
        <v>9988</v>
      </c>
      <c r="C2" s="20">
        <f>625*22</f>
        <v>13750</v>
      </c>
      <c r="D2" s="20">
        <f>C2*1.2</f>
        <v>16500</v>
      </c>
      <c r="E2" s="760"/>
      <c r="F2" s="760"/>
      <c r="G2" s="760"/>
    </row>
    <row r="3" spans="1:7">
      <c r="A3" s="760" t="s">
        <v>113</v>
      </c>
      <c r="B3" s="20">
        <v>5000</v>
      </c>
      <c r="C3" s="20"/>
      <c r="D3" s="20">
        <f>C3*1.25</f>
        <v>0</v>
      </c>
      <c r="E3" s="760"/>
      <c r="F3" s="760"/>
      <c r="G3" s="760">
        <f>B3*3.32</f>
        <v>16600</v>
      </c>
    </row>
    <row r="4" spans="1:7">
      <c r="A4" s="760" t="s">
        <v>114</v>
      </c>
      <c r="B4" s="20">
        <v>3700</v>
      </c>
      <c r="C4" s="20"/>
      <c r="D4" s="20"/>
      <c r="E4" s="760"/>
      <c r="F4" s="760"/>
      <c r="G4" s="760"/>
    </row>
    <row r="5" spans="1:7">
      <c r="A5" s="760" t="s">
        <v>115</v>
      </c>
      <c r="B5" s="20">
        <f>600*22</f>
        <v>13200</v>
      </c>
      <c r="C5" s="20">
        <f>771*22</f>
        <v>16962</v>
      </c>
      <c r="D5" s="20">
        <f>C5*1.2</f>
        <v>20354.399999999998</v>
      </c>
      <c r="E5" s="760">
        <f>E2+E3</f>
        <v>0</v>
      </c>
      <c r="F5" s="760"/>
      <c r="G5" s="760"/>
    </row>
    <row r="6" spans="1:7">
      <c r="A6" s="760" t="s">
        <v>116</v>
      </c>
      <c r="B6" s="20">
        <f>454*22</f>
        <v>9988</v>
      </c>
      <c r="C6" s="20">
        <f>625*22</f>
        <v>13750</v>
      </c>
      <c r="D6" s="20">
        <f>C6*1.2</f>
        <v>16500</v>
      </c>
      <c r="E6" s="760"/>
      <c r="F6" s="760"/>
      <c r="G6" s="760"/>
    </row>
    <row r="7" spans="1:7">
      <c r="A7" s="760" t="s">
        <v>117</v>
      </c>
      <c r="B7" s="20">
        <v>3500</v>
      </c>
      <c r="C7" s="20"/>
      <c r="D7" s="20"/>
      <c r="E7" s="760"/>
      <c r="F7" s="760"/>
      <c r="G7" s="760"/>
    </row>
    <row r="8" spans="1:7">
      <c r="A8" s="759" t="s">
        <v>118</v>
      </c>
      <c r="B8" s="20">
        <v>1500</v>
      </c>
      <c r="C8" s="20"/>
      <c r="D8" s="760"/>
      <c r="E8" s="760"/>
      <c r="F8" s="760"/>
      <c r="G8" s="760"/>
    </row>
    <row r="9" spans="1:7">
      <c r="A9" s="760" t="s">
        <v>119</v>
      </c>
      <c r="B9" s="20">
        <f>B3*1.25</f>
        <v>6250</v>
      </c>
      <c r="C9" s="20"/>
      <c r="D9" s="20">
        <f>B9*1.2</f>
        <v>7500</v>
      </c>
      <c r="E9" s="760"/>
      <c r="F9" s="760"/>
      <c r="G9" s="760"/>
    </row>
    <row r="10" spans="1:7">
      <c r="A10" s="760" t="s">
        <v>120</v>
      </c>
      <c r="B10" s="20">
        <v>400</v>
      </c>
      <c r="C10" s="20"/>
      <c r="D10" s="760"/>
      <c r="E10" s="760"/>
      <c r="F10" s="760"/>
      <c r="G10" s="760"/>
    </row>
    <row r="11" spans="1:7">
      <c r="A11" s="760" t="s">
        <v>121</v>
      </c>
      <c r="B11" s="20">
        <v>50000</v>
      </c>
      <c r="C11" s="20"/>
      <c r="D11" s="760"/>
      <c r="E11" s="760"/>
      <c r="F11" s="760"/>
      <c r="G11" s="760"/>
    </row>
    <row r="12" spans="1:7">
      <c r="A12" s="760" t="s">
        <v>122</v>
      </c>
      <c r="B12" s="20">
        <v>500</v>
      </c>
      <c r="C12" s="20"/>
      <c r="D12" s="760"/>
      <c r="E12" s="760"/>
      <c r="F12" s="760"/>
      <c r="G12" s="760"/>
    </row>
    <row r="13" spans="1:7" ht="13.9">
      <c r="A13" s="427" t="s">
        <v>123</v>
      </c>
      <c r="B13" s="428">
        <v>50000</v>
      </c>
      <c r="C13" s="428"/>
      <c r="D13" s="428"/>
      <c r="E13" s="760"/>
      <c r="F13" s="760"/>
      <c r="G13" s="760"/>
    </row>
    <row r="14" spans="1:7" ht="13.9">
      <c r="A14" s="427" t="s">
        <v>124</v>
      </c>
      <c r="B14" s="428">
        <v>65500</v>
      </c>
      <c r="C14" s="428" t="s">
        <v>125</v>
      </c>
      <c r="D14" s="428"/>
      <c r="E14" s="760"/>
      <c r="F14" s="760"/>
      <c r="G14" s="760"/>
    </row>
    <row r="15" spans="1:7" ht="13.9">
      <c r="A15" s="427" t="s">
        <v>126</v>
      </c>
      <c r="B15" s="428">
        <v>300000</v>
      </c>
      <c r="C15" s="428"/>
      <c r="D15" s="428"/>
      <c r="E15" s="760"/>
      <c r="F15" s="760"/>
      <c r="G15" s="760"/>
    </row>
    <row r="16" spans="1:7" ht="13.9">
      <c r="A16" s="427" t="s">
        <v>127</v>
      </c>
      <c r="B16" s="428">
        <v>30000</v>
      </c>
      <c r="C16" s="428"/>
      <c r="D16" s="428"/>
      <c r="E16" s="760"/>
      <c r="F16" s="760"/>
      <c r="G16" s="760"/>
    </row>
    <row r="17" spans="1:4" ht="13.9">
      <c r="A17" s="427" t="s">
        <v>128</v>
      </c>
      <c r="B17" s="428">
        <v>100000</v>
      </c>
      <c r="C17" s="428"/>
      <c r="D17" s="428"/>
    </row>
    <row r="18" spans="1:4" ht="13.9">
      <c r="A18" s="427" t="s">
        <v>129</v>
      </c>
      <c r="B18" s="428">
        <v>60000</v>
      </c>
      <c r="C18" s="428"/>
      <c r="D18" s="428"/>
    </row>
    <row r="19" spans="1:4" ht="13.9">
      <c r="A19" s="427" t="s">
        <v>130</v>
      </c>
      <c r="B19" s="428">
        <v>15000</v>
      </c>
      <c r="C19" s="428" t="s">
        <v>131</v>
      </c>
      <c r="D19" s="428"/>
    </row>
    <row r="20" spans="1:4" ht="13.9">
      <c r="A20" s="427" t="s">
        <v>132</v>
      </c>
      <c r="B20" s="428">
        <v>1500</v>
      </c>
      <c r="C20" s="428"/>
      <c r="D20" s="428"/>
    </row>
    <row r="21" spans="1:4" ht="13.9">
      <c r="A21" s="427" t="s">
        <v>133</v>
      </c>
      <c r="B21" s="428">
        <v>13000</v>
      </c>
      <c r="C21" s="428"/>
      <c r="D21" s="428"/>
    </row>
    <row r="22" spans="1:4" ht="13.9">
      <c r="A22" s="427" t="s">
        <v>134</v>
      </c>
      <c r="B22" s="428">
        <v>200000</v>
      </c>
      <c r="C22" s="428"/>
      <c r="D22" s="428"/>
    </row>
    <row r="23" spans="1:4" ht="13.9">
      <c r="A23" s="427" t="s">
        <v>135</v>
      </c>
      <c r="B23" s="428">
        <v>200000</v>
      </c>
      <c r="C23" s="428"/>
      <c r="D23" s="428"/>
    </row>
    <row r="24" spans="1:4" ht="13.9">
      <c r="A24" s="427" t="s">
        <v>136</v>
      </c>
      <c r="B24" s="428">
        <v>300000</v>
      </c>
      <c r="C24" s="428"/>
      <c r="D24" s="428"/>
    </row>
    <row r="25" spans="1:4" ht="27.6">
      <c r="A25" s="427" t="s">
        <v>137</v>
      </c>
      <c r="B25" s="428">
        <v>800000</v>
      </c>
      <c r="C25" s="428"/>
      <c r="D25" s="428"/>
    </row>
    <row r="26" spans="1:4" ht="13.9">
      <c r="A26" s="427" t="s">
        <v>138</v>
      </c>
      <c r="B26" s="428">
        <v>1000</v>
      </c>
      <c r="C26" s="428"/>
      <c r="D26" s="428"/>
    </row>
    <row r="27" spans="1:4" ht="41.45">
      <c r="A27" s="427" t="s">
        <v>139</v>
      </c>
      <c r="B27" s="428">
        <v>520000</v>
      </c>
      <c r="C27" s="428"/>
      <c r="D27" s="428"/>
    </row>
    <row r="28" spans="1:4" ht="13.9">
      <c r="A28" s="427" t="s">
        <v>140</v>
      </c>
      <c r="B28" s="428">
        <v>150000</v>
      </c>
      <c r="C28" s="428"/>
      <c r="D28" s="428"/>
    </row>
    <row r="29" spans="1:4" ht="13.9">
      <c r="A29" s="427" t="s">
        <v>141</v>
      </c>
      <c r="B29" s="428">
        <v>2000</v>
      </c>
      <c r="C29" s="760"/>
      <c r="D29" s="760"/>
    </row>
    <row r="30" spans="1:4" ht="13.9">
      <c r="A30" s="427" t="s">
        <v>142</v>
      </c>
      <c r="B30" s="428">
        <v>18000</v>
      </c>
      <c r="C30" s="760"/>
      <c r="D30" s="760"/>
    </row>
    <row r="31" spans="1:4" ht="13.9">
      <c r="A31" s="427" t="s">
        <v>143</v>
      </c>
      <c r="B31" s="428">
        <v>8000</v>
      </c>
      <c r="C31" s="760"/>
      <c r="D31" s="760"/>
    </row>
    <row r="32" spans="1:4" ht="13.9">
      <c r="A32" s="427" t="s">
        <v>144</v>
      </c>
      <c r="B32" s="428">
        <v>7</v>
      </c>
      <c r="C32" s="760"/>
      <c r="D32" s="760"/>
    </row>
    <row r="33" spans="1:2" ht="13.9">
      <c r="A33" s="427" t="s">
        <v>145</v>
      </c>
      <c r="B33" s="428">
        <v>2000</v>
      </c>
    </row>
    <row r="34" spans="1:2" ht="13.9">
      <c r="A34" s="427" t="s">
        <v>146</v>
      </c>
      <c r="B34" s="428">
        <v>40</v>
      </c>
    </row>
    <row r="35" spans="1:2" ht="13.9">
      <c r="A35" s="427" t="s">
        <v>147</v>
      </c>
      <c r="B35" s="428">
        <v>20</v>
      </c>
    </row>
    <row r="36" spans="1:2" ht="13.9">
      <c r="A36" s="427" t="s">
        <v>148</v>
      </c>
      <c r="B36" s="428">
        <v>10000</v>
      </c>
    </row>
    <row r="37" spans="1:2" ht="13.9">
      <c r="A37" s="427" t="s">
        <v>149</v>
      </c>
      <c r="B37" s="523">
        <v>3.32</v>
      </c>
    </row>
  </sheetData>
  <pageMargins left="0.75" right="0.75" top="1" bottom="1" header="0.3" footer="0.3"/>
  <pageSetup orientation="portrait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9"/>
  <dimension ref="A1:J62"/>
  <sheetViews>
    <sheetView topLeftCell="A10" workbookViewId="0">
      <selection activeCell="K6" sqref="K6"/>
    </sheetView>
  </sheetViews>
  <sheetFormatPr defaultColWidth="10.7109375" defaultRowHeight="13.15" outlineLevelCol="1"/>
  <cols>
    <col min="1" max="1" width="5.85546875" customWidth="1"/>
    <col min="2" max="2" width="32.140625" customWidth="1"/>
    <col min="3" max="4" width="11.42578125" customWidth="1"/>
    <col min="5" max="7" width="11.42578125" hidden="1" customWidth="1" outlineLevel="1"/>
    <col min="8" max="8" width="2.42578125" customWidth="1" collapsed="1"/>
  </cols>
  <sheetData>
    <row r="1" spans="1:10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0" ht="15.6">
      <c r="A2" s="113" t="s">
        <v>551</v>
      </c>
      <c r="B2" s="23"/>
      <c r="C2" s="23"/>
      <c r="D2" s="23"/>
      <c r="E2" s="23"/>
      <c r="F2" s="23"/>
      <c r="G2" s="23"/>
      <c r="H2" s="23"/>
      <c r="I2" s="1085" t="e">
        <f>Strategy</f>
        <v>#REF!</v>
      </c>
      <c r="J2" s="23"/>
    </row>
    <row r="3" spans="1:10">
      <c r="A3" s="1067"/>
      <c r="B3" s="23"/>
      <c r="C3" s="23"/>
      <c r="D3" s="23"/>
      <c r="E3" s="23"/>
      <c r="F3" s="23"/>
      <c r="G3" s="23"/>
      <c r="H3" s="23"/>
      <c r="I3" s="23"/>
      <c r="J3" s="23"/>
    </row>
    <row r="4" spans="1:10">
      <c r="A4" s="1074" t="s">
        <v>487</v>
      </c>
      <c r="B4" s="1126" t="s">
        <v>552</v>
      </c>
      <c r="C4" s="1127" t="s">
        <v>553</v>
      </c>
      <c r="D4" s="1127"/>
      <c r="E4" s="1127"/>
      <c r="F4" s="1127"/>
      <c r="G4" s="1127"/>
      <c r="H4" s="46">
        <v>1</v>
      </c>
      <c r="I4" s="1074" t="s">
        <v>509</v>
      </c>
      <c r="J4" s="23"/>
    </row>
    <row r="5" spans="1:10">
      <c r="A5" s="1074"/>
      <c r="B5" s="1128"/>
      <c r="C5" s="1129">
        <v>1</v>
      </c>
      <c r="D5" s="1129">
        <v>2</v>
      </c>
      <c r="E5" s="1129">
        <v>3</v>
      </c>
      <c r="F5" s="1129">
        <v>4</v>
      </c>
      <c r="G5" s="1129">
        <v>5</v>
      </c>
      <c r="H5" s="46"/>
      <c r="I5" s="1074"/>
      <c r="J5" s="23"/>
    </row>
    <row r="6" spans="1:10" ht="23.25" customHeight="1">
      <c r="A6" s="37">
        <v>1</v>
      </c>
      <c r="B6" s="66" t="e">
        <f>#REF!</f>
        <v>#REF!</v>
      </c>
      <c r="C6" s="115">
        <v>334.89174801239648</v>
      </c>
      <c r="D6" s="115">
        <v>334.89174801239648</v>
      </c>
      <c r="E6" s="115" t="e">
        <v>#VALUE!</v>
      </c>
      <c r="F6" s="115" t="e">
        <v>#VALUE!</v>
      </c>
      <c r="G6" s="115" t="e">
        <v>#VALUE!</v>
      </c>
      <c r="H6" s="23"/>
      <c r="I6" s="115" t="e">
        <f>#REF!</f>
        <v>#REF!</v>
      </c>
      <c r="J6" s="23"/>
    </row>
    <row r="7" spans="1:10" ht="23.25" customHeight="1">
      <c r="A7" s="37">
        <v>2</v>
      </c>
      <c r="B7" s="66" t="e">
        <f>#REF!</f>
        <v>#REF!</v>
      </c>
      <c r="C7" s="115">
        <v>169.00979039999999</v>
      </c>
      <c r="D7" s="115">
        <v>169.00979039999999</v>
      </c>
      <c r="E7" s="115" t="e">
        <v>#VALUE!</v>
      </c>
      <c r="F7" s="115" t="e">
        <v>#VALUE!</v>
      </c>
      <c r="G7" s="115" t="e">
        <v>#VALUE!</v>
      </c>
      <c r="H7" s="23"/>
      <c r="I7" s="115" t="e">
        <f>#REF!</f>
        <v>#REF!</v>
      </c>
      <c r="J7" s="23"/>
    </row>
    <row r="8" spans="1:10" ht="23.25" customHeight="1">
      <c r="A8" s="37">
        <v>3</v>
      </c>
      <c r="B8" s="66" t="e">
        <f>#REF!</f>
        <v>#REF!</v>
      </c>
      <c r="C8" s="115">
        <v>503.90153841239646</v>
      </c>
      <c r="D8" s="115">
        <v>503.90153841239646</v>
      </c>
      <c r="E8" s="115" t="e">
        <v>#VALUE!</v>
      </c>
      <c r="F8" s="115" t="e">
        <v>#VALUE!</v>
      </c>
      <c r="G8" s="115" t="e">
        <v>#VALUE!</v>
      </c>
      <c r="H8" s="23"/>
      <c r="I8" s="115" t="e">
        <f>#REF!</f>
        <v>#REF!</v>
      </c>
      <c r="J8" s="23"/>
    </row>
    <row r="9" spans="1:10" ht="23.25" customHeight="1">
      <c r="A9" s="37">
        <v>4</v>
      </c>
      <c r="B9" s="66" t="e">
        <f>#REF!</f>
        <v>#REF!</v>
      </c>
      <c r="C9" s="115">
        <v>-2648.7586340049183</v>
      </c>
      <c r="D9" s="115">
        <v>-2648.7586340049183</v>
      </c>
      <c r="E9" s="115" t="e">
        <v>#DIV/0!</v>
      </c>
      <c r="F9" s="115" t="e">
        <v>#DIV/0!</v>
      </c>
      <c r="G9" s="115" t="e">
        <v>#DIV/0!</v>
      </c>
      <c r="H9" s="23"/>
      <c r="I9" s="115" t="e">
        <f>#REF!</f>
        <v>#REF!</v>
      </c>
      <c r="J9" s="23"/>
    </row>
    <row r="10" spans="1:10" ht="23.25" customHeight="1">
      <c r="A10" s="37">
        <v>5</v>
      </c>
      <c r="B10" s="66" t="e">
        <f>#REF!</f>
        <v>#REF!</v>
      </c>
      <c r="C10" s="115">
        <v>-165.5474146253074</v>
      </c>
      <c r="D10" s="115">
        <v>-165.5474146253074</v>
      </c>
      <c r="E10" s="115" t="e">
        <v>#DIV/0!</v>
      </c>
      <c r="F10" s="115" t="e">
        <v>#DIV/0!</v>
      </c>
      <c r="G10" s="115" t="e">
        <v>#DIV/0!</v>
      </c>
      <c r="H10" s="23"/>
      <c r="I10" s="115" t="e">
        <f>#REF!</f>
        <v>#REF!</v>
      </c>
      <c r="J10" s="23"/>
    </row>
    <row r="11" spans="1:10" ht="23.25" customHeight="1">
      <c r="A11" s="37">
        <v>6</v>
      </c>
      <c r="B11" s="66" t="e">
        <f>#REF!</f>
        <v>#REF!</v>
      </c>
      <c r="C11" s="115">
        <v>-2151.6812315925217</v>
      </c>
      <c r="D11" s="115">
        <v>-2151.6812315925217</v>
      </c>
      <c r="E11" s="115" t="e">
        <v>#VALUE!</v>
      </c>
      <c r="F11" s="115" t="e">
        <v>#VALUE!</v>
      </c>
      <c r="G11" s="115" t="e">
        <v>#VALUE!</v>
      </c>
      <c r="H11" s="23"/>
      <c r="I11" s="115" t="e">
        <f>#REF!</f>
        <v>#REF!</v>
      </c>
      <c r="J11" s="23"/>
    </row>
    <row r="12" spans="1:10" ht="23.25" customHeight="1">
      <c r="A12" s="37">
        <v>7</v>
      </c>
      <c r="B12" s="66" t="e">
        <f>#REF!</f>
        <v>#REF!</v>
      </c>
      <c r="C12" s="115">
        <v>-741.18304217520677</v>
      </c>
      <c r="D12" s="115">
        <v>-741.18304217520677</v>
      </c>
      <c r="E12" s="115" t="e">
        <v>#VALUE!</v>
      </c>
      <c r="F12" s="115" t="e">
        <v>#VALUE!</v>
      </c>
      <c r="G12" s="115" t="e">
        <v>#VALUE!</v>
      </c>
      <c r="H12" s="23"/>
      <c r="I12" s="115" t="e">
        <f>#REF!</f>
        <v>#REF!</v>
      </c>
      <c r="J12" s="23"/>
    </row>
    <row r="13" spans="1:10" ht="23.25" customHeight="1">
      <c r="A13" s="37">
        <v>8</v>
      </c>
      <c r="B13" s="66" t="e">
        <f>#REF!</f>
        <v>#REF!</v>
      </c>
      <c r="C13" s="115">
        <v>365.19516517623083</v>
      </c>
      <c r="D13" s="115">
        <v>365.19516517623083</v>
      </c>
      <c r="E13" s="115" t="e">
        <v>#VALUE!</v>
      </c>
      <c r="F13" s="115" t="e">
        <v>#VALUE!</v>
      </c>
      <c r="G13" s="115" t="e">
        <v>#VALUE!</v>
      </c>
      <c r="H13" s="23"/>
      <c r="I13" s="115" t="e">
        <f>#REF!</f>
        <v>#REF!</v>
      </c>
      <c r="J13" s="23"/>
    </row>
    <row r="14" spans="1:10" ht="23.25" customHeight="1">
      <c r="A14" s="37">
        <v>9</v>
      </c>
      <c r="B14" s="66" t="e">
        <f>#REF!</f>
        <v>#REF!</v>
      </c>
      <c r="C14" s="115">
        <v>286.65983671427637</v>
      </c>
      <c r="D14" s="115">
        <v>286.65983671427637</v>
      </c>
      <c r="E14" s="115" t="e">
        <v>#VALUE!</v>
      </c>
      <c r="F14" s="115" t="e">
        <v>#VALUE!</v>
      </c>
      <c r="G14" s="115" t="e">
        <v>#VALUE!</v>
      </c>
      <c r="H14" s="23"/>
      <c r="I14" s="115" t="e">
        <f>#REF!</f>
        <v>#REF!</v>
      </c>
      <c r="J14" s="23"/>
    </row>
    <row r="15" spans="1:10" ht="23.25" customHeight="1">
      <c r="A15" s="37">
        <v>10</v>
      </c>
      <c r="B15" s="66" t="e">
        <f>#REF!</f>
        <v>#REF!</v>
      </c>
      <c r="C15" s="115">
        <v>78.535328461954464</v>
      </c>
      <c r="D15" s="115">
        <v>78.535328461954464</v>
      </c>
      <c r="E15" s="115" t="e">
        <v>#VALUE!</v>
      </c>
      <c r="F15" s="115" t="e">
        <v>#VALUE!</v>
      </c>
      <c r="G15" s="115" t="e">
        <v>#VALUE!</v>
      </c>
      <c r="H15" s="23"/>
      <c r="I15" s="115" t="e">
        <f>#REF!</f>
        <v>#REF!</v>
      </c>
      <c r="J15" s="23"/>
    </row>
    <row r="16" spans="1:10" ht="23.25" customHeight="1">
      <c r="A16" s="37">
        <v>11</v>
      </c>
      <c r="B16" s="66" t="e">
        <f>#REF!</f>
        <v>#REF!</v>
      </c>
      <c r="C16" s="115">
        <v>-1106.3782073514376</v>
      </c>
      <c r="D16" s="115">
        <v>-1106.3782073514376</v>
      </c>
      <c r="E16" s="115" t="e">
        <v>#DIV/0!</v>
      </c>
      <c r="F16" s="115" t="e">
        <v>#DIV/0!</v>
      </c>
      <c r="G16" s="115" t="e">
        <v>#DIV/0!</v>
      </c>
      <c r="H16" s="23"/>
      <c r="I16" s="115" t="e">
        <f>#REF!</f>
        <v>#REF!</v>
      </c>
      <c r="J16" s="23"/>
    </row>
    <row r="17" spans="1:10" ht="23.25" customHeight="1">
      <c r="A17" s="37">
        <v>12</v>
      </c>
      <c r="B17" s="66" t="e">
        <f>#REF!</f>
        <v>#REF!</v>
      </c>
      <c r="C17" s="115">
        <v>-129.25766249199802</v>
      </c>
      <c r="D17" s="115">
        <v>-129.25766249199802</v>
      </c>
      <c r="E17" s="115" t="e">
        <v>#DIV/0!</v>
      </c>
      <c r="F17" s="115" t="e">
        <v>#DIV/0!</v>
      </c>
      <c r="G17" s="115" t="e">
        <v>#DIV/0!</v>
      </c>
      <c r="H17" s="23"/>
      <c r="I17" s="115" t="e">
        <f>#REF!</f>
        <v>#REF!</v>
      </c>
      <c r="J17" s="23"/>
    </row>
    <row r="18" spans="1:10" ht="26.25" customHeight="1">
      <c r="A18" s="37">
        <v>13</v>
      </c>
      <c r="B18" s="66" t="e">
        <f>#REF!</f>
        <v>#REF!</v>
      </c>
      <c r="C18" s="115">
        <v>673.83289082435113</v>
      </c>
      <c r="D18" s="115">
        <v>673.83289082435113</v>
      </c>
      <c r="E18" s="115" t="e">
        <v>#DIV/0!</v>
      </c>
      <c r="F18" s="115" t="e">
        <v>#DIV/0!</v>
      </c>
      <c r="G18" s="115" t="e">
        <v>#DIV/0!</v>
      </c>
      <c r="H18" s="23"/>
      <c r="I18" s="115" t="e">
        <f>#REF!</f>
        <v>#REF!</v>
      </c>
      <c r="J18" s="23"/>
    </row>
    <row r="19" spans="1:10" ht="26.25" customHeight="1">
      <c r="A19" s="37">
        <v>14</v>
      </c>
      <c r="B19" s="66" t="e">
        <f>#REF!</f>
        <v>#REF!</v>
      </c>
      <c r="C19" s="115">
        <v>1415.0159329995577</v>
      </c>
      <c r="D19" s="115">
        <v>1415.0159329995577</v>
      </c>
      <c r="E19" s="115" t="e">
        <v>#DIV/0!</v>
      </c>
      <c r="F19" s="115" t="e">
        <v>#DIV/0!</v>
      </c>
      <c r="G19" s="115" t="e">
        <v>#DIV/0!</v>
      </c>
      <c r="H19" s="23"/>
      <c r="I19" s="115" t="e">
        <f>#REF!</f>
        <v>#REF!</v>
      </c>
      <c r="J19" s="23"/>
    </row>
    <row r="20" spans="1:10" ht="26.25" customHeight="1">
      <c r="A20" s="37">
        <v>15</v>
      </c>
      <c r="B20" s="66" t="e">
        <f>#REF!</f>
        <v>#REF!</v>
      </c>
      <c r="C20" s="183">
        <v>0.33477228850094126</v>
      </c>
      <c r="D20" s="183">
        <v>0.33477228850094126</v>
      </c>
      <c r="E20" s="183" t="e">
        <v>#VALUE!</v>
      </c>
      <c r="F20" s="183" t="e">
        <v>#VALUE!</v>
      </c>
      <c r="G20" s="183" t="e">
        <v>#VALUE!</v>
      </c>
      <c r="H20" s="23"/>
      <c r="I20" s="183" t="e">
        <f>#REF!</f>
        <v>#REF!</v>
      </c>
      <c r="J20" s="23"/>
    </row>
    <row r="21" spans="1:10" ht="26.25" customHeight="1">
      <c r="A21" s="37">
        <v>16</v>
      </c>
      <c r="B21" s="66" t="e">
        <f>#REF!</f>
        <v>#REF!</v>
      </c>
      <c r="C21" s="184">
        <v>8.6385916256157321E-3</v>
      </c>
      <c r="D21" s="184">
        <v>8.451918675181358E-3</v>
      </c>
      <c r="E21" s="184"/>
      <c r="F21" s="184"/>
      <c r="G21" s="184"/>
      <c r="H21" s="23"/>
      <c r="I21" s="184" t="e">
        <f>#REF!</f>
        <v>#REF!</v>
      </c>
      <c r="J21" s="23"/>
    </row>
    <row r="22" spans="1:10" ht="26.25" customHeight="1">
      <c r="A22" s="78"/>
      <c r="B22" s="78"/>
      <c r="C22" s="78"/>
      <c r="D22" s="78"/>
      <c r="E22" s="78"/>
      <c r="F22" s="78"/>
      <c r="G22" s="78"/>
      <c r="H22" s="23"/>
      <c r="I22" s="78"/>
      <c r="J22" s="23"/>
    </row>
    <row r="23" spans="1:10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pans="1:10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>
      <c r="A25" s="1067" t="s">
        <v>554</v>
      </c>
      <c r="B25" s="23"/>
      <c r="C25" s="23"/>
      <c r="D25" s="23"/>
      <c r="E25" s="23"/>
      <c r="F25" s="23"/>
      <c r="G25" s="23"/>
      <c r="H25" s="23"/>
      <c r="I25" s="23"/>
      <c r="J25" s="23"/>
    </row>
    <row r="26" spans="1:10">
      <c r="A26" s="1067"/>
      <c r="B26" s="23"/>
      <c r="C26" s="23"/>
      <c r="D26" s="23"/>
      <c r="E26" s="23"/>
      <c r="F26" s="23"/>
      <c r="G26" s="23"/>
      <c r="H26" s="23"/>
      <c r="I26" s="23"/>
      <c r="J26" s="23"/>
    </row>
    <row r="27" spans="1:10">
      <c r="A27" s="1074" t="s">
        <v>487</v>
      </c>
      <c r="B27" s="1126" t="s">
        <v>552</v>
      </c>
      <c r="C27" s="1127" t="s">
        <v>553</v>
      </c>
      <c r="D27" s="1127"/>
      <c r="E27" s="1127"/>
      <c r="F27" s="1127"/>
      <c r="G27" s="1127"/>
      <c r="H27" s="46"/>
      <c r="I27" s="1074" t="s">
        <v>555</v>
      </c>
      <c r="J27" s="23"/>
    </row>
    <row r="28" spans="1:10">
      <c r="A28" s="1074"/>
      <c r="B28" s="1128"/>
      <c r="C28" s="1129">
        <v>1</v>
      </c>
      <c r="D28" s="1129">
        <v>2</v>
      </c>
      <c r="E28" s="1129">
        <v>3</v>
      </c>
      <c r="F28" s="1129">
        <v>4</v>
      </c>
      <c r="G28" s="1129">
        <v>5</v>
      </c>
      <c r="H28" s="23"/>
      <c r="I28" s="1074"/>
      <c r="J28" s="23"/>
    </row>
    <row r="29" spans="1:10" ht="26.25" customHeight="1">
      <c r="A29" s="771">
        <v>1</v>
      </c>
      <c r="B29" s="778" t="e">
        <f t="shared" ref="B29:G31" si="0">B6</f>
        <v>#REF!</v>
      </c>
      <c r="C29" s="109">
        <f t="shared" si="0"/>
        <v>334.89174801239648</v>
      </c>
      <c r="D29" s="109">
        <f t="shared" si="0"/>
        <v>334.89174801239648</v>
      </c>
      <c r="E29" s="109" t="e">
        <f t="shared" si="0"/>
        <v>#VALUE!</v>
      </c>
      <c r="F29" s="109" t="e">
        <f t="shared" si="0"/>
        <v>#VALUE!</v>
      </c>
      <c r="G29" s="109" t="e">
        <f t="shared" si="0"/>
        <v>#VALUE!</v>
      </c>
      <c r="H29" s="23"/>
      <c r="I29" s="109" t="e">
        <f>I6</f>
        <v>#REF!</v>
      </c>
      <c r="J29" s="23"/>
    </row>
    <row r="30" spans="1:10" ht="26.25" customHeight="1">
      <c r="A30" s="771">
        <v>2</v>
      </c>
      <c r="B30" s="778" t="e">
        <f t="shared" si="0"/>
        <v>#REF!</v>
      </c>
      <c r="C30" s="109">
        <f t="shared" si="0"/>
        <v>169.00979039999999</v>
      </c>
      <c r="D30" s="109">
        <f t="shared" si="0"/>
        <v>169.00979039999999</v>
      </c>
      <c r="E30" s="109" t="e">
        <f t="shared" si="0"/>
        <v>#VALUE!</v>
      </c>
      <c r="F30" s="109" t="e">
        <f t="shared" si="0"/>
        <v>#VALUE!</v>
      </c>
      <c r="G30" s="109" t="e">
        <f t="shared" si="0"/>
        <v>#VALUE!</v>
      </c>
      <c r="H30" s="23"/>
      <c r="I30" s="109" t="e">
        <f>I7</f>
        <v>#REF!</v>
      </c>
      <c r="J30" s="23"/>
    </row>
    <row r="31" spans="1:10" ht="26.25" customHeight="1">
      <c r="A31" s="771">
        <v>3</v>
      </c>
      <c r="B31" s="778" t="e">
        <f t="shared" si="0"/>
        <v>#REF!</v>
      </c>
      <c r="C31" s="109">
        <f t="shared" si="0"/>
        <v>503.90153841239646</v>
      </c>
      <c r="D31" s="109">
        <f t="shared" si="0"/>
        <v>503.90153841239646</v>
      </c>
      <c r="E31" s="109" t="e">
        <f t="shared" si="0"/>
        <v>#VALUE!</v>
      </c>
      <c r="F31" s="109" t="e">
        <f t="shared" si="0"/>
        <v>#VALUE!</v>
      </c>
      <c r="G31" s="109" t="e">
        <f t="shared" si="0"/>
        <v>#VALUE!</v>
      </c>
      <c r="H31" s="23"/>
      <c r="I31" s="109" t="e">
        <f>I8</f>
        <v>#REF!</v>
      </c>
      <c r="J31" s="23"/>
    </row>
    <row r="32" spans="1:10" ht="26.25" customHeight="1">
      <c r="A32" s="771">
        <v>4</v>
      </c>
      <c r="B32" s="778" t="e">
        <f t="shared" ref="B32:G32" si="1">B13</f>
        <v>#REF!</v>
      </c>
      <c r="C32" s="109">
        <f t="shared" si="1"/>
        <v>365.19516517623083</v>
      </c>
      <c r="D32" s="109">
        <f t="shared" si="1"/>
        <v>365.19516517623083</v>
      </c>
      <c r="E32" s="109" t="e">
        <f t="shared" si="1"/>
        <v>#VALUE!</v>
      </c>
      <c r="F32" s="109" t="e">
        <f t="shared" si="1"/>
        <v>#VALUE!</v>
      </c>
      <c r="G32" s="109" t="e">
        <f t="shared" si="1"/>
        <v>#VALUE!</v>
      </c>
      <c r="H32" s="23"/>
      <c r="I32" s="109" t="e">
        <f>I13</f>
        <v>#REF!</v>
      </c>
      <c r="J32" s="23"/>
    </row>
    <row r="33" spans="1:10">
      <c r="A33" s="77"/>
      <c r="B33" s="110"/>
      <c r="C33" s="111"/>
      <c r="D33" s="111"/>
      <c r="E33" s="111"/>
      <c r="F33" s="112"/>
      <c r="G33" s="112"/>
      <c r="H33" s="23"/>
      <c r="I33" s="23"/>
      <c r="J33" s="23"/>
    </row>
    <row r="34" spans="1:10">
      <c r="A34" s="1130" t="s">
        <v>556</v>
      </c>
      <c r="B34" s="760"/>
      <c r="C34" s="760"/>
      <c r="D34" s="760"/>
      <c r="E34" s="760"/>
      <c r="F34" s="760"/>
      <c r="G34" s="760"/>
      <c r="H34" s="23"/>
      <c r="I34" s="23"/>
      <c r="J34" s="23"/>
    </row>
    <row r="35" spans="1:10">
      <c r="A35" s="1130"/>
      <c r="B35" s="760"/>
      <c r="C35" s="760"/>
      <c r="D35" s="760"/>
      <c r="E35" s="760"/>
      <c r="F35" s="760"/>
      <c r="G35" s="760"/>
      <c r="H35" s="23"/>
      <c r="I35" s="23"/>
      <c r="J35" s="23"/>
    </row>
    <row r="36" spans="1:10">
      <c r="A36" s="1074" t="s">
        <v>487</v>
      </c>
      <c r="B36" s="1126" t="s">
        <v>552</v>
      </c>
      <c r="C36" s="1127" t="s">
        <v>553</v>
      </c>
      <c r="D36" s="1127"/>
      <c r="E36" s="1127"/>
      <c r="F36" s="1127"/>
      <c r="G36" s="1127"/>
      <c r="H36" s="46"/>
      <c r="I36" s="1074" t="s">
        <v>555</v>
      </c>
      <c r="J36" s="23"/>
    </row>
    <row r="37" spans="1:10">
      <c r="A37" s="1074"/>
      <c r="B37" s="1128"/>
      <c r="C37" s="1129">
        <v>1</v>
      </c>
      <c r="D37" s="1129">
        <v>2</v>
      </c>
      <c r="E37" s="1129">
        <v>3</v>
      </c>
      <c r="F37" s="1129">
        <v>4</v>
      </c>
      <c r="G37" s="1129">
        <v>5</v>
      </c>
      <c r="H37" s="23"/>
      <c r="I37" s="1074"/>
      <c r="J37" s="23"/>
    </row>
    <row r="38" spans="1:10" ht="26.25" customHeight="1">
      <c r="A38" s="771">
        <v>1</v>
      </c>
      <c r="B38" s="778" t="e">
        <f t="shared" ref="B38:G38" si="2">B13</f>
        <v>#REF!</v>
      </c>
      <c r="C38" s="109">
        <f t="shared" si="2"/>
        <v>365.19516517623083</v>
      </c>
      <c r="D38" s="109">
        <f t="shared" si="2"/>
        <v>365.19516517623083</v>
      </c>
      <c r="E38" s="109" t="e">
        <f t="shared" si="2"/>
        <v>#VALUE!</v>
      </c>
      <c r="F38" s="109" t="e">
        <f t="shared" si="2"/>
        <v>#VALUE!</v>
      </c>
      <c r="G38" s="109" t="e">
        <f t="shared" si="2"/>
        <v>#VALUE!</v>
      </c>
      <c r="H38" s="23"/>
      <c r="I38" s="109" t="e">
        <f>I13</f>
        <v>#REF!</v>
      </c>
      <c r="J38" s="23"/>
    </row>
    <row r="39" spans="1:10" ht="26.25" customHeight="1">
      <c r="A39" s="771">
        <v>2</v>
      </c>
      <c r="B39" s="778" t="e">
        <f t="shared" ref="B39:G40" si="3">B16</f>
        <v>#REF!</v>
      </c>
      <c r="C39" s="109">
        <f t="shared" si="3"/>
        <v>-1106.3782073514376</v>
      </c>
      <c r="D39" s="109">
        <f t="shared" si="3"/>
        <v>-1106.3782073514376</v>
      </c>
      <c r="E39" s="109" t="e">
        <f t="shared" si="3"/>
        <v>#DIV/0!</v>
      </c>
      <c r="F39" s="109" t="e">
        <f t="shared" si="3"/>
        <v>#DIV/0!</v>
      </c>
      <c r="G39" s="109" t="e">
        <f t="shared" si="3"/>
        <v>#DIV/0!</v>
      </c>
      <c r="H39" s="23"/>
      <c r="I39" s="109" t="e">
        <f>I16</f>
        <v>#REF!</v>
      </c>
      <c r="J39" s="23"/>
    </row>
    <row r="40" spans="1:10" ht="26.25" customHeight="1">
      <c r="A40" s="771">
        <v>3</v>
      </c>
      <c r="B40" s="778" t="e">
        <f t="shared" si="3"/>
        <v>#REF!</v>
      </c>
      <c r="C40" s="109">
        <f t="shared" si="3"/>
        <v>-129.25766249199802</v>
      </c>
      <c r="D40" s="109">
        <f t="shared" si="3"/>
        <v>-129.25766249199802</v>
      </c>
      <c r="E40" s="109" t="e">
        <f t="shared" si="3"/>
        <v>#DIV/0!</v>
      </c>
      <c r="F40" s="109" t="e">
        <f t="shared" si="3"/>
        <v>#DIV/0!</v>
      </c>
      <c r="G40" s="109" t="e">
        <f t="shared" si="3"/>
        <v>#DIV/0!</v>
      </c>
      <c r="H40" s="23"/>
      <c r="I40" s="109" t="e">
        <f>I17</f>
        <v>#REF!</v>
      </c>
      <c r="J40" s="23"/>
    </row>
    <row r="41" spans="1:10" ht="26.25" customHeight="1">
      <c r="A41" s="771">
        <v>4</v>
      </c>
      <c r="B41" s="778" t="e">
        <f t="shared" ref="B41:G42" si="4">B11</f>
        <v>#REF!</v>
      </c>
      <c r="C41" s="109">
        <f t="shared" si="4"/>
        <v>-2151.6812315925217</v>
      </c>
      <c r="D41" s="109">
        <f t="shared" si="4"/>
        <v>-2151.6812315925217</v>
      </c>
      <c r="E41" s="109" t="e">
        <f t="shared" si="4"/>
        <v>#VALUE!</v>
      </c>
      <c r="F41" s="109" t="e">
        <f t="shared" si="4"/>
        <v>#VALUE!</v>
      </c>
      <c r="G41" s="109" t="e">
        <f t="shared" si="4"/>
        <v>#VALUE!</v>
      </c>
      <c r="H41" s="23"/>
      <c r="I41" s="109" t="e">
        <f>I11</f>
        <v>#REF!</v>
      </c>
      <c r="J41" s="23"/>
    </row>
    <row r="42" spans="1:10" ht="26.25" customHeight="1">
      <c r="A42" s="771">
        <v>5</v>
      </c>
      <c r="B42" s="778" t="e">
        <f t="shared" si="4"/>
        <v>#REF!</v>
      </c>
      <c r="C42" s="109">
        <f t="shared" si="4"/>
        <v>-741.18304217520677</v>
      </c>
      <c r="D42" s="109">
        <f t="shared" si="4"/>
        <v>-741.18304217520677</v>
      </c>
      <c r="E42" s="109" t="e">
        <f t="shared" si="4"/>
        <v>#VALUE!</v>
      </c>
      <c r="F42" s="109" t="e">
        <f t="shared" si="4"/>
        <v>#VALUE!</v>
      </c>
      <c r="G42" s="109" t="e">
        <f t="shared" si="4"/>
        <v>#VALUE!</v>
      </c>
      <c r="H42" s="23"/>
      <c r="I42" s="109" t="e">
        <f>I12</f>
        <v>#REF!</v>
      </c>
      <c r="J42" s="23"/>
    </row>
    <row r="43" spans="1:10">
      <c r="A43" s="77"/>
      <c r="B43" s="110"/>
      <c r="C43" s="111"/>
      <c r="D43" s="111"/>
      <c r="E43" s="111"/>
      <c r="F43" s="112"/>
      <c r="G43" s="112"/>
      <c r="H43" s="23"/>
      <c r="I43" s="23"/>
      <c r="J43" s="23"/>
    </row>
    <row r="44" spans="1:10">
      <c r="A44" s="1130" t="s">
        <v>557</v>
      </c>
      <c r="B44" s="760"/>
      <c r="C44" s="760"/>
      <c r="D44" s="760"/>
      <c r="E44" s="760"/>
      <c r="F44" s="760"/>
      <c r="G44" s="760"/>
      <c r="H44" s="23"/>
      <c r="I44" s="23"/>
      <c r="J44" s="23"/>
    </row>
    <row r="45" spans="1:10">
      <c r="A45" s="1130"/>
      <c r="B45" s="760"/>
      <c r="C45" s="760"/>
      <c r="D45" s="760"/>
      <c r="E45" s="760"/>
      <c r="F45" s="760"/>
      <c r="G45" s="760"/>
      <c r="H45" s="23"/>
      <c r="I45" s="23"/>
      <c r="J45" s="23"/>
    </row>
    <row r="46" spans="1:10">
      <c r="A46" s="1074" t="s">
        <v>487</v>
      </c>
      <c r="B46" s="992" t="s">
        <v>552</v>
      </c>
      <c r="C46" s="1127" t="s">
        <v>553</v>
      </c>
      <c r="D46" s="1127"/>
      <c r="E46" s="1127"/>
      <c r="F46" s="1127"/>
      <c r="G46" s="1127"/>
      <c r="H46" s="46"/>
      <c r="I46" s="1074" t="s">
        <v>555</v>
      </c>
      <c r="J46" s="23"/>
    </row>
    <row r="47" spans="1:10">
      <c r="A47" s="1074"/>
      <c r="B47" s="993"/>
      <c r="C47" s="1129">
        <v>1</v>
      </c>
      <c r="D47" s="1129">
        <v>2</v>
      </c>
      <c r="E47" s="1129">
        <v>3</v>
      </c>
      <c r="F47" s="1129">
        <v>4</v>
      </c>
      <c r="G47" s="1129">
        <v>5</v>
      </c>
      <c r="H47" s="23"/>
      <c r="I47" s="1074"/>
      <c r="J47" s="23"/>
    </row>
    <row r="48" spans="1:10" ht="26.25" customHeight="1">
      <c r="A48" s="771">
        <v>1</v>
      </c>
      <c r="B48" s="778" t="e">
        <f t="shared" ref="B48:G48" si="5">B17</f>
        <v>#REF!</v>
      </c>
      <c r="C48" s="109">
        <f t="shared" si="5"/>
        <v>-129.25766249199802</v>
      </c>
      <c r="D48" s="109">
        <f t="shared" si="5"/>
        <v>-129.25766249199802</v>
      </c>
      <c r="E48" s="109" t="e">
        <f t="shared" si="5"/>
        <v>#DIV/0!</v>
      </c>
      <c r="F48" s="109" t="e">
        <f t="shared" si="5"/>
        <v>#DIV/0!</v>
      </c>
      <c r="G48" s="109" t="e">
        <f t="shared" si="5"/>
        <v>#DIV/0!</v>
      </c>
      <c r="H48" s="23"/>
      <c r="I48" s="109" t="e">
        <f>I17</f>
        <v>#REF!</v>
      </c>
      <c r="J48" s="23"/>
    </row>
    <row r="50" spans="1:9">
      <c r="A50" s="1130" t="s">
        <v>558</v>
      </c>
      <c r="B50" s="760"/>
      <c r="C50" s="760"/>
      <c r="D50" s="760"/>
      <c r="E50" s="760"/>
      <c r="F50" s="760"/>
      <c r="G50" s="760"/>
      <c r="H50" s="760"/>
      <c r="I50" s="760"/>
    </row>
    <row r="52" spans="1:9">
      <c r="A52" s="1131" t="s">
        <v>487</v>
      </c>
      <c r="B52" s="1132" t="s">
        <v>552</v>
      </c>
      <c r="C52" s="1133" t="s">
        <v>553</v>
      </c>
      <c r="D52" s="1133"/>
      <c r="E52" s="1133"/>
      <c r="F52" s="1133"/>
      <c r="G52" s="1133"/>
      <c r="H52" s="46"/>
      <c r="I52" s="1132" t="s">
        <v>555</v>
      </c>
    </row>
    <row r="53" spans="1:9">
      <c r="A53" s="1131"/>
      <c r="B53" s="1134"/>
      <c r="C53" s="1135">
        <v>1</v>
      </c>
      <c r="D53" s="1135">
        <v>2</v>
      </c>
      <c r="E53" s="1135">
        <v>3</v>
      </c>
      <c r="F53" s="1135">
        <v>4</v>
      </c>
      <c r="G53" s="1135">
        <v>5</v>
      </c>
      <c r="H53" s="23"/>
      <c r="I53" s="1134"/>
    </row>
    <row r="54" spans="1:9" ht="26.25" customHeight="1">
      <c r="A54" s="771">
        <v>1</v>
      </c>
      <c r="B54" s="778" t="e">
        <f t="shared" ref="B54:G54" si="6">B18</f>
        <v>#REF!</v>
      </c>
      <c r="C54" s="109">
        <f t="shared" si="6"/>
        <v>673.83289082435113</v>
      </c>
      <c r="D54" s="109">
        <f t="shared" si="6"/>
        <v>673.83289082435113</v>
      </c>
      <c r="E54" s="109" t="e">
        <f t="shared" si="6"/>
        <v>#DIV/0!</v>
      </c>
      <c r="F54" s="109" t="e">
        <f t="shared" si="6"/>
        <v>#DIV/0!</v>
      </c>
      <c r="G54" s="109" t="e">
        <f t="shared" si="6"/>
        <v>#DIV/0!</v>
      </c>
      <c r="H54" s="23"/>
      <c r="I54" s="109" t="e">
        <f>I18</f>
        <v>#REF!</v>
      </c>
    </row>
    <row r="55" spans="1:9" ht="26.25" customHeight="1">
      <c r="A55" s="771">
        <v>2</v>
      </c>
      <c r="B55" s="778" t="e">
        <f t="shared" ref="B55:G55" si="7">B21</f>
        <v>#REF!</v>
      </c>
      <c r="C55" s="185">
        <f t="shared" si="7"/>
        <v>8.6385916256157321E-3</v>
      </c>
      <c r="D55" s="185">
        <f t="shared" si="7"/>
        <v>8.451918675181358E-3</v>
      </c>
      <c r="E55" s="185">
        <f t="shared" si="7"/>
        <v>0</v>
      </c>
      <c r="F55" s="185">
        <f t="shared" si="7"/>
        <v>0</v>
      </c>
      <c r="G55" s="185">
        <f t="shared" si="7"/>
        <v>0</v>
      </c>
      <c r="H55" s="23"/>
      <c r="I55" s="185" t="e">
        <f>I21</f>
        <v>#REF!</v>
      </c>
    </row>
    <row r="56" spans="1:9" ht="15" customHeight="1">
      <c r="A56" s="1130"/>
      <c r="B56" s="110"/>
      <c r="C56" s="168"/>
      <c r="D56" s="168"/>
      <c r="E56" s="168"/>
      <c r="F56" s="168"/>
      <c r="G56" s="168"/>
      <c r="H56" s="23"/>
      <c r="I56" s="760"/>
    </row>
    <row r="57" spans="1:9" ht="15" customHeight="1">
      <c r="A57" s="1130" t="s">
        <v>559</v>
      </c>
      <c r="B57" s="110"/>
      <c r="C57" s="168"/>
      <c r="D57" s="168"/>
      <c r="E57" s="168"/>
      <c r="F57" s="168"/>
      <c r="G57" s="168"/>
      <c r="H57" s="23"/>
      <c r="I57" s="760"/>
    </row>
    <row r="58" spans="1:9" ht="15" customHeight="1">
      <c r="A58" s="760"/>
      <c r="B58" s="760"/>
      <c r="C58" s="760"/>
      <c r="D58" s="760"/>
      <c r="E58" s="760"/>
      <c r="F58" s="760"/>
      <c r="G58" s="760"/>
      <c r="H58" s="760"/>
      <c r="I58" s="760"/>
    </row>
    <row r="59" spans="1:9">
      <c r="A59" s="1136" t="s">
        <v>487</v>
      </c>
      <c r="B59" s="1137" t="s">
        <v>552</v>
      </c>
      <c r="C59" s="1138" t="s">
        <v>553</v>
      </c>
      <c r="D59" s="1138"/>
      <c r="E59" s="1138"/>
      <c r="F59" s="1138"/>
      <c r="G59" s="1138"/>
      <c r="H59" s="760"/>
      <c r="I59" s="1137" t="s">
        <v>555</v>
      </c>
    </row>
    <row r="60" spans="1:9">
      <c r="A60" s="1136"/>
      <c r="B60" s="1139"/>
      <c r="C60" s="1140">
        <v>1</v>
      </c>
      <c r="D60" s="1140">
        <v>2</v>
      </c>
      <c r="E60" s="1140">
        <v>3</v>
      </c>
      <c r="F60" s="1140">
        <v>4</v>
      </c>
      <c r="G60" s="1140">
        <v>5</v>
      </c>
      <c r="H60" s="760"/>
      <c r="I60" s="1139"/>
    </row>
    <row r="61" spans="1:9">
      <c r="A61" s="771">
        <v>1</v>
      </c>
      <c r="B61" s="778" t="e">
        <f t="shared" ref="B61:G61" si="8">B19</f>
        <v>#REF!</v>
      </c>
      <c r="C61" s="109">
        <f t="shared" si="8"/>
        <v>1415.0159329995577</v>
      </c>
      <c r="D61" s="109">
        <f t="shared" si="8"/>
        <v>1415.0159329995577</v>
      </c>
      <c r="E61" s="109" t="e">
        <f t="shared" si="8"/>
        <v>#DIV/0!</v>
      </c>
      <c r="F61" s="109" t="e">
        <f t="shared" si="8"/>
        <v>#DIV/0!</v>
      </c>
      <c r="G61" s="109" t="e">
        <f t="shared" si="8"/>
        <v>#DIV/0!</v>
      </c>
      <c r="H61" s="760"/>
      <c r="I61" s="109" t="e">
        <f>I19</f>
        <v>#REF!</v>
      </c>
    </row>
    <row r="62" spans="1:9" ht="25.5" customHeight="1">
      <c r="A62" s="771">
        <v>2</v>
      </c>
      <c r="B62" s="778" t="e">
        <f t="shared" ref="B62:G62" si="9">B20</f>
        <v>#REF!</v>
      </c>
      <c r="C62" s="72">
        <f t="shared" si="9"/>
        <v>0.33477228850094126</v>
      </c>
      <c r="D62" s="72">
        <f t="shared" si="9"/>
        <v>0.33477228850094126</v>
      </c>
      <c r="E62" s="72" t="e">
        <f t="shared" si="9"/>
        <v>#VALUE!</v>
      </c>
      <c r="F62" s="72" t="e">
        <f t="shared" si="9"/>
        <v>#VALUE!</v>
      </c>
      <c r="G62" s="72" t="e">
        <f t="shared" si="9"/>
        <v>#VALUE!</v>
      </c>
      <c r="H62" s="760"/>
      <c r="I62" s="72" t="e">
        <f>I20</f>
        <v>#REF!</v>
      </c>
    </row>
  </sheetData>
  <mergeCells count="24">
    <mergeCell ref="A59:A60"/>
    <mergeCell ref="A36:A37"/>
    <mergeCell ref="B36:B37"/>
    <mergeCell ref="C36:G36"/>
    <mergeCell ref="A52:A53"/>
    <mergeCell ref="A46:A47"/>
    <mergeCell ref="I4:I5"/>
    <mergeCell ref="A27:A28"/>
    <mergeCell ref="B27:B28"/>
    <mergeCell ref="C27:G27"/>
    <mergeCell ref="I27:I28"/>
    <mergeCell ref="A4:A5"/>
    <mergeCell ref="B4:B5"/>
    <mergeCell ref="C4:G4"/>
    <mergeCell ref="I36:I37"/>
    <mergeCell ref="I52:I53"/>
    <mergeCell ref="I59:I60"/>
    <mergeCell ref="B52:B53"/>
    <mergeCell ref="C52:G52"/>
    <mergeCell ref="B46:B47"/>
    <mergeCell ref="C46:G46"/>
    <mergeCell ref="I46:I47"/>
    <mergeCell ref="B59:B60"/>
    <mergeCell ref="C59:G59"/>
  </mergeCells>
  <phoneticPr fontId="2" type="noConversion"/>
  <pageMargins left="0.75" right="0.75" top="1" bottom="1" header="0" footer="0"/>
  <pageSetup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31"/>
  <dimension ref="A1:J62"/>
  <sheetViews>
    <sheetView topLeftCell="A22" workbookViewId="0">
      <selection activeCell="A27" sqref="A27:I32"/>
    </sheetView>
  </sheetViews>
  <sheetFormatPr defaultColWidth="10.7109375" defaultRowHeight="13.15" outlineLevelCol="1"/>
  <cols>
    <col min="1" max="1" width="5.85546875" customWidth="1"/>
    <col min="2" max="2" width="32.140625" customWidth="1"/>
    <col min="3" max="7" width="11.42578125" hidden="1" customWidth="1" outlineLevel="1"/>
    <col min="8" max="8" width="1.7109375" customWidth="1" collapsed="1"/>
  </cols>
  <sheetData>
    <row r="1" spans="1:10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0" ht="15.6">
      <c r="A2" s="113" t="s">
        <v>551</v>
      </c>
      <c r="B2" s="23"/>
      <c r="C2" s="23"/>
      <c r="D2" s="23"/>
      <c r="E2" s="23"/>
      <c r="F2" s="23"/>
      <c r="G2" s="23"/>
      <c r="H2" s="23"/>
      <c r="I2" s="1085" t="e">
        <f>Strategy</f>
        <v>#REF!</v>
      </c>
      <c r="J2" s="23"/>
    </row>
    <row r="3" spans="1:10">
      <c r="A3" s="1067"/>
      <c r="B3" s="23"/>
      <c r="C3" s="23"/>
      <c r="D3" s="23"/>
      <c r="E3" s="23"/>
      <c r="F3" s="23"/>
      <c r="G3" s="23"/>
      <c r="H3" s="23"/>
      <c r="I3" s="23"/>
      <c r="J3" s="23"/>
    </row>
    <row r="4" spans="1:10">
      <c r="A4" s="1074" t="s">
        <v>487</v>
      </c>
      <c r="B4" s="1126" t="s">
        <v>552</v>
      </c>
      <c r="C4" s="1127" t="s">
        <v>553</v>
      </c>
      <c r="D4" s="1127"/>
      <c r="E4" s="1127"/>
      <c r="F4" s="1127"/>
      <c r="G4" s="1127"/>
      <c r="H4" s="46">
        <v>1</v>
      </c>
      <c r="I4" s="1074" t="s">
        <v>509</v>
      </c>
      <c r="J4" s="23"/>
    </row>
    <row r="5" spans="1:10">
      <c r="A5" s="1074"/>
      <c r="B5" s="1128"/>
      <c r="C5" s="1129">
        <v>1</v>
      </c>
      <c r="D5" s="1129">
        <v>2</v>
      </c>
      <c r="E5" s="1129">
        <v>3</v>
      </c>
      <c r="F5" s="1129">
        <v>4</v>
      </c>
      <c r="G5" s="1129">
        <v>5</v>
      </c>
      <c r="H5" s="46"/>
      <c r="I5" s="1074"/>
      <c r="J5" s="23"/>
    </row>
    <row r="6" spans="1:10" ht="23.25" customHeight="1">
      <c r="A6" s="37">
        <v>1</v>
      </c>
      <c r="B6" s="66" t="e">
        <f>#REF!</f>
        <v>#REF!</v>
      </c>
      <c r="C6" s="115">
        <v>334.89174801239648</v>
      </c>
      <c r="D6" s="115">
        <v>334.89174801239648</v>
      </c>
      <c r="E6" s="115" t="e">
        <v>#VALUE!</v>
      </c>
      <c r="F6" s="115" t="e">
        <v>#VALUE!</v>
      </c>
      <c r="G6" s="115" t="e">
        <v>#VALUE!</v>
      </c>
      <c r="H6" s="23"/>
      <c r="I6" s="115" t="e">
        <f>#REF!</f>
        <v>#REF!</v>
      </c>
      <c r="J6" s="23"/>
    </row>
    <row r="7" spans="1:10" ht="23.25" customHeight="1">
      <c r="A7" s="37">
        <v>2</v>
      </c>
      <c r="B7" s="66" t="e">
        <f>#REF!</f>
        <v>#REF!</v>
      </c>
      <c r="C7" s="115">
        <v>169.00979039999999</v>
      </c>
      <c r="D7" s="115">
        <v>169.00979039999999</v>
      </c>
      <c r="E7" s="115" t="e">
        <v>#VALUE!</v>
      </c>
      <c r="F7" s="115" t="e">
        <v>#VALUE!</v>
      </c>
      <c r="G7" s="115" t="e">
        <v>#VALUE!</v>
      </c>
      <c r="H7" s="23"/>
      <c r="I7" s="115" t="e">
        <f>#REF!</f>
        <v>#REF!</v>
      </c>
      <c r="J7" s="23"/>
    </row>
    <row r="8" spans="1:10" ht="23.25" customHeight="1">
      <c r="A8" s="37">
        <v>3</v>
      </c>
      <c r="B8" s="66" t="e">
        <f>#REF!</f>
        <v>#REF!</v>
      </c>
      <c r="C8" s="115">
        <v>503.90153841239646</v>
      </c>
      <c r="D8" s="115">
        <v>503.90153841239646</v>
      </c>
      <c r="E8" s="115" t="e">
        <v>#VALUE!</v>
      </c>
      <c r="F8" s="115" t="e">
        <v>#VALUE!</v>
      </c>
      <c r="G8" s="115" t="e">
        <v>#VALUE!</v>
      </c>
      <c r="H8" s="23"/>
      <c r="I8" s="115" t="e">
        <f>#REF!</f>
        <v>#REF!</v>
      </c>
      <c r="J8" s="23"/>
    </row>
    <row r="9" spans="1:10" ht="23.25" customHeight="1">
      <c r="A9" s="37">
        <v>4</v>
      </c>
      <c r="B9" s="66" t="e">
        <f>#REF!</f>
        <v>#REF!</v>
      </c>
      <c r="C9" s="115">
        <v>-2648.7586340049183</v>
      </c>
      <c r="D9" s="115">
        <v>-2648.7586340049183</v>
      </c>
      <c r="E9" s="115" t="e">
        <v>#DIV/0!</v>
      </c>
      <c r="F9" s="115" t="e">
        <v>#DIV/0!</v>
      </c>
      <c r="G9" s="115" t="e">
        <v>#DIV/0!</v>
      </c>
      <c r="H9" s="23"/>
      <c r="I9" s="115" t="e">
        <f>#REF!</f>
        <v>#REF!</v>
      </c>
      <c r="J9" s="23"/>
    </row>
    <row r="10" spans="1:10" ht="23.25" customHeight="1">
      <c r="A10" s="37">
        <v>5</v>
      </c>
      <c r="B10" s="66" t="e">
        <f>#REF!</f>
        <v>#REF!</v>
      </c>
      <c r="C10" s="115">
        <v>-165.5474146253074</v>
      </c>
      <c r="D10" s="115">
        <v>-165.5474146253074</v>
      </c>
      <c r="E10" s="115" t="e">
        <v>#DIV/0!</v>
      </c>
      <c r="F10" s="115" t="e">
        <v>#DIV/0!</v>
      </c>
      <c r="G10" s="115" t="e">
        <v>#DIV/0!</v>
      </c>
      <c r="H10" s="23"/>
      <c r="I10" s="115" t="e">
        <f>#REF!</f>
        <v>#REF!</v>
      </c>
      <c r="J10" s="23"/>
    </row>
    <row r="11" spans="1:10" ht="23.25" customHeight="1">
      <c r="A11" s="37">
        <v>6</v>
      </c>
      <c r="B11" s="66" t="e">
        <f>#REF!</f>
        <v>#REF!</v>
      </c>
      <c r="C11" s="115">
        <v>-2151.6812315925217</v>
      </c>
      <c r="D11" s="115">
        <v>-2151.6812315925217</v>
      </c>
      <c r="E11" s="115" t="e">
        <v>#VALUE!</v>
      </c>
      <c r="F11" s="115" t="e">
        <v>#VALUE!</v>
      </c>
      <c r="G11" s="115" t="e">
        <v>#VALUE!</v>
      </c>
      <c r="H11" s="23"/>
      <c r="I11" s="115" t="e">
        <f>#REF!</f>
        <v>#REF!</v>
      </c>
      <c r="J11" s="23"/>
    </row>
    <row r="12" spans="1:10" ht="23.25" customHeight="1">
      <c r="A12" s="37">
        <v>7</v>
      </c>
      <c r="B12" s="66" t="e">
        <f>#REF!</f>
        <v>#REF!</v>
      </c>
      <c r="C12" s="115">
        <v>-741.18304217520677</v>
      </c>
      <c r="D12" s="115">
        <v>-741.18304217520677</v>
      </c>
      <c r="E12" s="115" t="e">
        <v>#VALUE!</v>
      </c>
      <c r="F12" s="115" t="e">
        <v>#VALUE!</v>
      </c>
      <c r="G12" s="115" t="e">
        <v>#VALUE!</v>
      </c>
      <c r="H12" s="23"/>
      <c r="I12" s="115" t="e">
        <f>#REF!</f>
        <v>#REF!</v>
      </c>
      <c r="J12" s="23"/>
    </row>
    <row r="13" spans="1:10" ht="23.25" customHeight="1">
      <c r="A13" s="37">
        <v>8</v>
      </c>
      <c r="B13" s="66" t="e">
        <f>#REF!</f>
        <v>#REF!</v>
      </c>
      <c r="C13" s="115">
        <v>365.19516517623083</v>
      </c>
      <c r="D13" s="115">
        <v>365.19516517623083</v>
      </c>
      <c r="E13" s="115" t="e">
        <v>#VALUE!</v>
      </c>
      <c r="F13" s="115" t="e">
        <v>#VALUE!</v>
      </c>
      <c r="G13" s="115" t="e">
        <v>#VALUE!</v>
      </c>
      <c r="H13" s="23"/>
      <c r="I13" s="115" t="e">
        <f>#REF!</f>
        <v>#REF!</v>
      </c>
      <c r="J13" s="23"/>
    </row>
    <row r="14" spans="1:10" ht="23.25" customHeight="1">
      <c r="A14" s="37">
        <v>9</v>
      </c>
      <c r="B14" s="66" t="e">
        <f>#REF!</f>
        <v>#REF!</v>
      </c>
      <c r="C14" s="115">
        <v>286.65983671427637</v>
      </c>
      <c r="D14" s="115">
        <v>286.65983671427637</v>
      </c>
      <c r="E14" s="115" t="e">
        <v>#VALUE!</v>
      </c>
      <c r="F14" s="115" t="e">
        <v>#VALUE!</v>
      </c>
      <c r="G14" s="115" t="e">
        <v>#VALUE!</v>
      </c>
      <c r="H14" s="23"/>
      <c r="I14" s="115" t="e">
        <f>#REF!</f>
        <v>#REF!</v>
      </c>
      <c r="J14" s="23"/>
    </row>
    <row r="15" spans="1:10" ht="23.25" customHeight="1">
      <c r="A15" s="37">
        <v>10</v>
      </c>
      <c r="B15" s="66" t="e">
        <f>#REF!</f>
        <v>#REF!</v>
      </c>
      <c r="C15" s="115">
        <v>78.535328461954464</v>
      </c>
      <c r="D15" s="115">
        <v>78.535328461954464</v>
      </c>
      <c r="E15" s="115" t="e">
        <v>#VALUE!</v>
      </c>
      <c r="F15" s="115" t="e">
        <v>#VALUE!</v>
      </c>
      <c r="G15" s="115" t="e">
        <v>#VALUE!</v>
      </c>
      <c r="H15" s="23"/>
      <c r="I15" s="115" t="e">
        <f>#REF!</f>
        <v>#REF!</v>
      </c>
      <c r="J15" s="23"/>
    </row>
    <row r="16" spans="1:10" ht="23.25" customHeight="1">
      <c r="A16" s="37">
        <v>11</v>
      </c>
      <c r="B16" s="66" t="e">
        <f>#REF!</f>
        <v>#REF!</v>
      </c>
      <c r="C16" s="115">
        <v>-1106.3782073514376</v>
      </c>
      <c r="D16" s="115">
        <v>-1106.3782073514376</v>
      </c>
      <c r="E16" s="115" t="e">
        <v>#DIV/0!</v>
      </c>
      <c r="F16" s="115" t="e">
        <v>#DIV/0!</v>
      </c>
      <c r="G16" s="115" t="e">
        <v>#DIV/0!</v>
      </c>
      <c r="H16" s="23"/>
      <c r="I16" s="115" t="e">
        <f>#REF!</f>
        <v>#REF!</v>
      </c>
      <c r="J16" s="23"/>
    </row>
    <row r="17" spans="1:10" ht="23.25" customHeight="1">
      <c r="A17" s="37">
        <v>12</v>
      </c>
      <c r="B17" s="66" t="e">
        <f>#REF!</f>
        <v>#REF!</v>
      </c>
      <c r="C17" s="115">
        <v>-129.25766249199802</v>
      </c>
      <c r="D17" s="115">
        <v>-129.25766249199802</v>
      </c>
      <c r="E17" s="115" t="e">
        <v>#DIV/0!</v>
      </c>
      <c r="F17" s="115" t="e">
        <v>#DIV/0!</v>
      </c>
      <c r="G17" s="115" t="e">
        <v>#DIV/0!</v>
      </c>
      <c r="H17" s="23"/>
      <c r="I17" s="115" t="e">
        <f>#REF!</f>
        <v>#REF!</v>
      </c>
      <c r="J17" s="23"/>
    </row>
    <row r="18" spans="1:10" ht="26.25" customHeight="1">
      <c r="A18" s="37">
        <v>13</v>
      </c>
      <c r="B18" s="66" t="e">
        <f>#REF!</f>
        <v>#REF!</v>
      </c>
      <c r="C18" s="115">
        <v>673.83289082435113</v>
      </c>
      <c r="D18" s="115">
        <v>673.83289082435113</v>
      </c>
      <c r="E18" s="115" t="e">
        <v>#DIV/0!</v>
      </c>
      <c r="F18" s="115" t="e">
        <v>#DIV/0!</v>
      </c>
      <c r="G18" s="115" t="e">
        <v>#DIV/0!</v>
      </c>
      <c r="H18" s="23"/>
      <c r="I18" s="115" t="e">
        <f>#REF!</f>
        <v>#REF!</v>
      </c>
      <c r="J18" s="23"/>
    </row>
    <row r="19" spans="1:10" ht="26.25" customHeight="1">
      <c r="A19" s="37">
        <v>14</v>
      </c>
      <c r="B19" s="66" t="e">
        <f>#REF!</f>
        <v>#REF!</v>
      </c>
      <c r="C19" s="115">
        <v>1415.0159329995577</v>
      </c>
      <c r="D19" s="115">
        <v>1415.0159329995577</v>
      </c>
      <c r="E19" s="115" t="e">
        <v>#DIV/0!</v>
      </c>
      <c r="F19" s="115" t="e">
        <v>#DIV/0!</v>
      </c>
      <c r="G19" s="115" t="e">
        <v>#DIV/0!</v>
      </c>
      <c r="H19" s="23"/>
      <c r="I19" s="115" t="e">
        <f>#REF!</f>
        <v>#REF!</v>
      </c>
      <c r="J19" s="23"/>
    </row>
    <row r="20" spans="1:10" ht="26.25" customHeight="1">
      <c r="A20" s="37">
        <v>15</v>
      </c>
      <c r="B20" s="66" t="e">
        <f>#REF!</f>
        <v>#REF!</v>
      </c>
      <c r="C20" s="187">
        <v>0.33477228850094126</v>
      </c>
      <c r="D20" s="187">
        <v>0.33477228850094126</v>
      </c>
      <c r="E20" s="187" t="e">
        <v>#VALUE!</v>
      </c>
      <c r="F20" s="187" t="e">
        <v>#VALUE!</v>
      </c>
      <c r="G20" s="187" t="e">
        <v>#VALUE!</v>
      </c>
      <c r="H20" s="23"/>
      <c r="I20" s="187" t="e">
        <f>#REF!</f>
        <v>#REF!</v>
      </c>
      <c r="J20" s="23"/>
    </row>
    <row r="21" spans="1:10" ht="26.25" customHeight="1">
      <c r="A21" s="37">
        <v>16</v>
      </c>
      <c r="B21" s="66" t="e">
        <f>#REF!</f>
        <v>#REF!</v>
      </c>
      <c r="C21" s="188">
        <v>8.6385916256157321E-3</v>
      </c>
      <c r="D21" s="188">
        <v>8.451918675181358E-3</v>
      </c>
      <c r="E21" s="188"/>
      <c r="F21" s="188"/>
      <c r="G21" s="188"/>
      <c r="H21" s="23"/>
      <c r="I21" s="188" t="e">
        <f>#REF!</f>
        <v>#REF!</v>
      </c>
      <c r="J21" s="23"/>
    </row>
    <row r="22" spans="1:10" ht="26.25" customHeight="1">
      <c r="A22" s="78"/>
      <c r="B22" s="78"/>
      <c r="C22" s="78"/>
      <c r="D22" s="78"/>
      <c r="E22" s="78"/>
      <c r="F22" s="78"/>
      <c r="G22" s="78"/>
      <c r="H22" s="23"/>
      <c r="I22" s="78"/>
      <c r="J22" s="23"/>
    </row>
    <row r="23" spans="1:10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pans="1:10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>
      <c r="A25" s="1067" t="s">
        <v>554</v>
      </c>
      <c r="B25" s="23"/>
      <c r="C25" s="23"/>
      <c r="D25" s="23"/>
      <c r="E25" s="23"/>
      <c r="F25" s="23"/>
      <c r="G25" s="23"/>
      <c r="H25" s="23"/>
      <c r="I25" s="23"/>
      <c r="J25" s="23"/>
    </row>
    <row r="26" spans="1:10">
      <c r="A26" s="1067"/>
      <c r="B26" s="23"/>
      <c r="C26" s="23"/>
      <c r="D26" s="23"/>
      <c r="E26" s="23"/>
      <c r="F26" s="23"/>
      <c r="G26" s="23"/>
      <c r="H26" s="23"/>
      <c r="I26" s="23"/>
      <c r="J26" s="23"/>
    </row>
    <row r="27" spans="1:10">
      <c r="A27" s="1074" t="s">
        <v>487</v>
      </c>
      <c r="B27" s="1126" t="s">
        <v>552</v>
      </c>
      <c r="C27" s="1127" t="s">
        <v>553</v>
      </c>
      <c r="D27" s="1127"/>
      <c r="E27" s="1127"/>
      <c r="F27" s="1127"/>
      <c r="G27" s="1127"/>
      <c r="H27" s="46"/>
      <c r="I27" s="1074" t="s">
        <v>555</v>
      </c>
      <c r="J27" s="23"/>
    </row>
    <row r="28" spans="1:10">
      <c r="A28" s="1074"/>
      <c r="B28" s="1128"/>
      <c r="C28" s="1129">
        <v>1</v>
      </c>
      <c r="D28" s="1129">
        <v>2</v>
      </c>
      <c r="E28" s="1129">
        <v>3</v>
      </c>
      <c r="F28" s="1129">
        <v>4</v>
      </c>
      <c r="G28" s="1129">
        <v>5</v>
      </c>
      <c r="H28" s="23"/>
      <c r="I28" s="1074"/>
      <c r="J28" s="23"/>
    </row>
    <row r="29" spans="1:10" ht="26.25" customHeight="1">
      <c r="A29" s="771">
        <v>1</v>
      </c>
      <c r="B29" s="778" t="e">
        <f t="shared" ref="B29:G31" si="0">B6</f>
        <v>#REF!</v>
      </c>
      <c r="C29" s="109">
        <f t="shared" si="0"/>
        <v>334.89174801239648</v>
      </c>
      <c r="D29" s="109">
        <f t="shared" si="0"/>
        <v>334.89174801239648</v>
      </c>
      <c r="E29" s="109" t="e">
        <f t="shared" si="0"/>
        <v>#VALUE!</v>
      </c>
      <c r="F29" s="109" t="e">
        <f t="shared" si="0"/>
        <v>#VALUE!</v>
      </c>
      <c r="G29" s="109" t="e">
        <f t="shared" si="0"/>
        <v>#VALUE!</v>
      </c>
      <c r="H29" s="23"/>
      <c r="I29" s="109" t="e">
        <f>I6</f>
        <v>#REF!</v>
      </c>
      <c r="J29" s="23"/>
    </row>
    <row r="30" spans="1:10" ht="26.25" customHeight="1">
      <c r="A30" s="771">
        <v>2</v>
      </c>
      <c r="B30" s="778" t="e">
        <f t="shared" si="0"/>
        <v>#REF!</v>
      </c>
      <c r="C30" s="109">
        <f t="shared" si="0"/>
        <v>169.00979039999999</v>
      </c>
      <c r="D30" s="109">
        <f t="shared" si="0"/>
        <v>169.00979039999999</v>
      </c>
      <c r="E30" s="109" t="e">
        <f t="shared" si="0"/>
        <v>#VALUE!</v>
      </c>
      <c r="F30" s="109" t="e">
        <f t="shared" si="0"/>
        <v>#VALUE!</v>
      </c>
      <c r="G30" s="109" t="e">
        <f t="shared" si="0"/>
        <v>#VALUE!</v>
      </c>
      <c r="H30" s="23"/>
      <c r="I30" s="109" t="e">
        <f>I7</f>
        <v>#REF!</v>
      </c>
      <c r="J30" s="23"/>
    </row>
    <row r="31" spans="1:10" ht="26.25" customHeight="1">
      <c r="A31" s="771">
        <v>3</v>
      </c>
      <c r="B31" s="778" t="e">
        <f t="shared" si="0"/>
        <v>#REF!</v>
      </c>
      <c r="C31" s="109">
        <f t="shared" si="0"/>
        <v>503.90153841239646</v>
      </c>
      <c r="D31" s="109">
        <f t="shared" si="0"/>
        <v>503.90153841239646</v>
      </c>
      <c r="E31" s="109" t="e">
        <f t="shared" si="0"/>
        <v>#VALUE!</v>
      </c>
      <c r="F31" s="109" t="e">
        <f t="shared" si="0"/>
        <v>#VALUE!</v>
      </c>
      <c r="G31" s="109" t="e">
        <f t="shared" si="0"/>
        <v>#VALUE!</v>
      </c>
      <c r="H31" s="23"/>
      <c r="I31" s="109" t="e">
        <f>I8</f>
        <v>#REF!</v>
      </c>
      <c r="J31" s="23"/>
    </row>
    <row r="32" spans="1:10" ht="26.25" customHeight="1">
      <c r="A32" s="771">
        <v>4</v>
      </c>
      <c r="B32" s="778" t="e">
        <f t="shared" ref="B32:G32" si="1">B13</f>
        <v>#REF!</v>
      </c>
      <c r="C32" s="109">
        <f t="shared" si="1"/>
        <v>365.19516517623083</v>
      </c>
      <c r="D32" s="109">
        <f t="shared" si="1"/>
        <v>365.19516517623083</v>
      </c>
      <c r="E32" s="109" t="e">
        <f t="shared" si="1"/>
        <v>#VALUE!</v>
      </c>
      <c r="F32" s="109" t="e">
        <f t="shared" si="1"/>
        <v>#VALUE!</v>
      </c>
      <c r="G32" s="109" t="e">
        <f t="shared" si="1"/>
        <v>#VALUE!</v>
      </c>
      <c r="H32" s="23"/>
      <c r="I32" s="109" t="e">
        <f>I13</f>
        <v>#REF!</v>
      </c>
      <c r="J32" s="23"/>
    </row>
    <row r="33" spans="1:10">
      <c r="A33" s="77"/>
      <c r="B33" s="110"/>
      <c r="C33" s="111"/>
      <c r="D33" s="111"/>
      <c r="E33" s="111"/>
      <c r="F33" s="112"/>
      <c r="G33" s="112"/>
      <c r="H33" s="23"/>
      <c r="I33" s="23"/>
      <c r="J33" s="23"/>
    </row>
    <row r="34" spans="1:10">
      <c r="A34" s="1130" t="s">
        <v>556</v>
      </c>
      <c r="B34" s="760"/>
      <c r="C34" s="760"/>
      <c r="D34" s="760"/>
      <c r="E34" s="760"/>
      <c r="F34" s="760"/>
      <c r="G34" s="760"/>
      <c r="H34" s="23"/>
      <c r="I34" s="23"/>
      <c r="J34" s="23"/>
    </row>
    <row r="35" spans="1:10">
      <c r="A35" s="1130"/>
      <c r="B35" s="760"/>
      <c r="C35" s="760"/>
      <c r="D35" s="760"/>
      <c r="E35" s="760"/>
      <c r="F35" s="760"/>
      <c r="G35" s="760"/>
      <c r="H35" s="23"/>
      <c r="I35" s="23"/>
      <c r="J35" s="23"/>
    </row>
    <row r="36" spans="1:10">
      <c r="A36" s="1074" t="s">
        <v>487</v>
      </c>
      <c r="B36" s="1126" t="s">
        <v>552</v>
      </c>
      <c r="C36" s="1127" t="s">
        <v>553</v>
      </c>
      <c r="D36" s="1127"/>
      <c r="E36" s="1127"/>
      <c r="F36" s="1127"/>
      <c r="G36" s="1127"/>
      <c r="H36" s="46"/>
      <c r="I36" s="1074" t="s">
        <v>555</v>
      </c>
      <c r="J36" s="23"/>
    </row>
    <row r="37" spans="1:10">
      <c r="A37" s="1074"/>
      <c r="B37" s="1128"/>
      <c r="C37" s="1129">
        <v>1</v>
      </c>
      <c r="D37" s="1129">
        <v>2</v>
      </c>
      <c r="E37" s="1129">
        <v>3</v>
      </c>
      <c r="F37" s="1129">
        <v>4</v>
      </c>
      <c r="G37" s="1129">
        <v>5</v>
      </c>
      <c r="H37" s="23"/>
      <c r="I37" s="1074"/>
      <c r="J37" s="23"/>
    </row>
    <row r="38" spans="1:10" ht="26.25" customHeight="1">
      <c r="A38" s="771">
        <v>1</v>
      </c>
      <c r="B38" s="778" t="e">
        <f t="shared" ref="B38:G38" si="2">B13</f>
        <v>#REF!</v>
      </c>
      <c r="C38" s="109">
        <f t="shared" si="2"/>
        <v>365.19516517623083</v>
      </c>
      <c r="D38" s="109">
        <f t="shared" si="2"/>
        <v>365.19516517623083</v>
      </c>
      <c r="E38" s="109" t="e">
        <f t="shared" si="2"/>
        <v>#VALUE!</v>
      </c>
      <c r="F38" s="109" t="e">
        <f t="shared" si="2"/>
        <v>#VALUE!</v>
      </c>
      <c r="G38" s="109" t="e">
        <f t="shared" si="2"/>
        <v>#VALUE!</v>
      </c>
      <c r="H38" s="23"/>
      <c r="I38" s="109" t="e">
        <f>I13</f>
        <v>#REF!</v>
      </c>
      <c r="J38" s="23"/>
    </row>
    <row r="39" spans="1:10" ht="26.25" customHeight="1">
      <c r="A39" s="771">
        <v>2</v>
      </c>
      <c r="B39" s="778" t="e">
        <f t="shared" ref="B39:G40" si="3">B16</f>
        <v>#REF!</v>
      </c>
      <c r="C39" s="109">
        <f t="shared" si="3"/>
        <v>-1106.3782073514376</v>
      </c>
      <c r="D39" s="109">
        <f t="shared" si="3"/>
        <v>-1106.3782073514376</v>
      </c>
      <c r="E39" s="109" t="e">
        <f t="shared" si="3"/>
        <v>#DIV/0!</v>
      </c>
      <c r="F39" s="109" t="e">
        <f t="shared" si="3"/>
        <v>#DIV/0!</v>
      </c>
      <c r="G39" s="109" t="e">
        <f t="shared" si="3"/>
        <v>#DIV/0!</v>
      </c>
      <c r="H39" s="23"/>
      <c r="I39" s="109" t="e">
        <f>I16</f>
        <v>#REF!</v>
      </c>
      <c r="J39" s="23"/>
    </row>
    <row r="40" spans="1:10" ht="26.25" customHeight="1">
      <c r="A40" s="771">
        <v>3</v>
      </c>
      <c r="B40" s="778" t="e">
        <f t="shared" si="3"/>
        <v>#REF!</v>
      </c>
      <c r="C40" s="109">
        <f t="shared" si="3"/>
        <v>-129.25766249199802</v>
      </c>
      <c r="D40" s="109">
        <f t="shared" si="3"/>
        <v>-129.25766249199802</v>
      </c>
      <c r="E40" s="109" t="e">
        <f t="shared" si="3"/>
        <v>#DIV/0!</v>
      </c>
      <c r="F40" s="109" t="e">
        <f t="shared" si="3"/>
        <v>#DIV/0!</v>
      </c>
      <c r="G40" s="109" t="e">
        <f t="shared" si="3"/>
        <v>#DIV/0!</v>
      </c>
      <c r="H40" s="23"/>
      <c r="I40" s="109" t="e">
        <f>I17</f>
        <v>#REF!</v>
      </c>
      <c r="J40" s="23"/>
    </row>
    <row r="41" spans="1:10" ht="26.25" customHeight="1">
      <c r="A41" s="771">
        <v>4</v>
      </c>
      <c r="B41" s="778" t="e">
        <f t="shared" ref="B41:G42" si="4">B11</f>
        <v>#REF!</v>
      </c>
      <c r="C41" s="109">
        <f t="shared" si="4"/>
        <v>-2151.6812315925217</v>
      </c>
      <c r="D41" s="109">
        <f t="shared" si="4"/>
        <v>-2151.6812315925217</v>
      </c>
      <c r="E41" s="109" t="e">
        <f t="shared" si="4"/>
        <v>#VALUE!</v>
      </c>
      <c r="F41" s="109" t="e">
        <f t="shared" si="4"/>
        <v>#VALUE!</v>
      </c>
      <c r="G41" s="109" t="e">
        <f t="shared" si="4"/>
        <v>#VALUE!</v>
      </c>
      <c r="H41" s="23"/>
      <c r="I41" s="109" t="e">
        <f>I11</f>
        <v>#REF!</v>
      </c>
      <c r="J41" s="23"/>
    </row>
    <row r="42" spans="1:10" ht="26.25" customHeight="1">
      <c r="A42" s="771">
        <v>5</v>
      </c>
      <c r="B42" s="778" t="e">
        <f t="shared" si="4"/>
        <v>#REF!</v>
      </c>
      <c r="C42" s="109">
        <f t="shared" si="4"/>
        <v>-741.18304217520677</v>
      </c>
      <c r="D42" s="109">
        <f t="shared" si="4"/>
        <v>-741.18304217520677</v>
      </c>
      <c r="E42" s="109" t="e">
        <f t="shared" si="4"/>
        <v>#VALUE!</v>
      </c>
      <c r="F42" s="109" t="e">
        <f t="shared" si="4"/>
        <v>#VALUE!</v>
      </c>
      <c r="G42" s="109" t="e">
        <f t="shared" si="4"/>
        <v>#VALUE!</v>
      </c>
      <c r="H42" s="23"/>
      <c r="I42" s="109" t="e">
        <f>I12</f>
        <v>#REF!</v>
      </c>
      <c r="J42" s="23"/>
    </row>
    <row r="43" spans="1:10">
      <c r="A43" s="77"/>
      <c r="B43" s="110"/>
      <c r="C43" s="111"/>
      <c r="D43" s="111"/>
      <c r="E43" s="111"/>
      <c r="F43" s="112"/>
      <c r="G43" s="112"/>
      <c r="H43" s="23"/>
      <c r="I43" s="23"/>
      <c r="J43" s="23"/>
    </row>
    <row r="44" spans="1:10">
      <c r="A44" s="1130" t="s">
        <v>557</v>
      </c>
      <c r="B44" s="760"/>
      <c r="C44" s="760"/>
      <c r="D44" s="760"/>
      <c r="E44" s="760"/>
      <c r="F44" s="760"/>
      <c r="G44" s="760"/>
      <c r="H44" s="23"/>
      <c r="I44" s="23"/>
      <c r="J44" s="23"/>
    </row>
    <row r="45" spans="1:10">
      <c r="A45" s="1130"/>
      <c r="B45" s="760"/>
      <c r="C45" s="760"/>
      <c r="D45" s="760"/>
      <c r="E45" s="760"/>
      <c r="F45" s="760"/>
      <c r="G45" s="760"/>
      <c r="H45" s="23"/>
      <c r="I45" s="23"/>
      <c r="J45" s="23"/>
    </row>
    <row r="46" spans="1:10">
      <c r="A46" s="1074" t="s">
        <v>487</v>
      </c>
      <c r="B46" s="992" t="s">
        <v>552</v>
      </c>
      <c r="C46" s="1127" t="s">
        <v>553</v>
      </c>
      <c r="D46" s="1127"/>
      <c r="E46" s="1127"/>
      <c r="F46" s="1127"/>
      <c r="G46" s="1127"/>
      <c r="H46" s="46"/>
      <c r="I46" s="1074" t="s">
        <v>555</v>
      </c>
      <c r="J46" s="23"/>
    </row>
    <row r="47" spans="1:10">
      <c r="A47" s="1074"/>
      <c r="B47" s="993"/>
      <c r="C47" s="1129">
        <v>1</v>
      </c>
      <c r="D47" s="1129">
        <v>2</v>
      </c>
      <c r="E47" s="1129">
        <v>3</v>
      </c>
      <c r="F47" s="1129">
        <v>4</v>
      </c>
      <c r="G47" s="1129">
        <v>5</v>
      </c>
      <c r="H47" s="23"/>
      <c r="I47" s="1074"/>
      <c r="J47" s="23"/>
    </row>
    <row r="48" spans="1:10" ht="26.25" customHeight="1">
      <c r="A48" s="771">
        <v>1</v>
      </c>
      <c r="B48" s="778" t="e">
        <f t="shared" ref="B48:G48" si="5">B17</f>
        <v>#REF!</v>
      </c>
      <c r="C48" s="109">
        <f t="shared" si="5"/>
        <v>-129.25766249199802</v>
      </c>
      <c r="D48" s="109">
        <f t="shared" si="5"/>
        <v>-129.25766249199802</v>
      </c>
      <c r="E48" s="109" t="e">
        <f t="shared" si="5"/>
        <v>#DIV/0!</v>
      </c>
      <c r="F48" s="109" t="e">
        <f t="shared" si="5"/>
        <v>#DIV/0!</v>
      </c>
      <c r="G48" s="109" t="e">
        <f t="shared" si="5"/>
        <v>#DIV/0!</v>
      </c>
      <c r="H48" s="23"/>
      <c r="I48" s="109" t="e">
        <f>I17</f>
        <v>#REF!</v>
      </c>
      <c r="J48" s="23"/>
    </row>
    <row r="50" spans="1:9">
      <c r="A50" s="1130" t="s">
        <v>558</v>
      </c>
      <c r="B50" s="760"/>
      <c r="C50" s="760"/>
      <c r="D50" s="760"/>
      <c r="E50" s="760"/>
      <c r="F50" s="760"/>
      <c r="G50" s="760"/>
      <c r="H50" s="760"/>
      <c r="I50" s="760"/>
    </row>
    <row r="52" spans="1:9">
      <c r="A52" s="1131" t="s">
        <v>487</v>
      </c>
      <c r="B52" s="1132" t="s">
        <v>552</v>
      </c>
      <c r="C52" s="1133" t="s">
        <v>553</v>
      </c>
      <c r="D52" s="1133"/>
      <c r="E52" s="1133"/>
      <c r="F52" s="1133"/>
      <c r="G52" s="1133"/>
      <c r="H52" s="46"/>
      <c r="I52" s="1132" t="s">
        <v>555</v>
      </c>
    </row>
    <row r="53" spans="1:9">
      <c r="A53" s="1131"/>
      <c r="B53" s="1134"/>
      <c r="C53" s="1135">
        <v>1</v>
      </c>
      <c r="D53" s="1135">
        <v>2</v>
      </c>
      <c r="E53" s="1135">
        <v>3</v>
      </c>
      <c r="F53" s="1135">
        <v>4</v>
      </c>
      <c r="G53" s="1135">
        <v>5</v>
      </c>
      <c r="H53" s="23"/>
      <c r="I53" s="1134"/>
    </row>
    <row r="54" spans="1:9" ht="26.25" customHeight="1">
      <c r="A54" s="771">
        <v>1</v>
      </c>
      <c r="B54" s="778" t="e">
        <f t="shared" ref="B54:G54" si="6">B18</f>
        <v>#REF!</v>
      </c>
      <c r="C54" s="109">
        <f t="shared" si="6"/>
        <v>673.83289082435113</v>
      </c>
      <c r="D54" s="109">
        <f t="shared" si="6"/>
        <v>673.83289082435113</v>
      </c>
      <c r="E54" s="109" t="e">
        <f t="shared" si="6"/>
        <v>#DIV/0!</v>
      </c>
      <c r="F54" s="109" t="e">
        <f t="shared" si="6"/>
        <v>#DIV/0!</v>
      </c>
      <c r="G54" s="109" t="e">
        <f t="shared" si="6"/>
        <v>#DIV/0!</v>
      </c>
      <c r="H54" s="23"/>
      <c r="I54" s="109" t="e">
        <f>I18</f>
        <v>#REF!</v>
      </c>
    </row>
    <row r="55" spans="1:9" ht="26.25" customHeight="1">
      <c r="A55" s="771">
        <v>2</v>
      </c>
      <c r="B55" s="778" t="e">
        <f t="shared" ref="B55:G55" si="7">B21</f>
        <v>#REF!</v>
      </c>
      <c r="C55" s="189">
        <f t="shared" si="7"/>
        <v>8.6385916256157321E-3</v>
      </c>
      <c r="D55" s="189">
        <f t="shared" si="7"/>
        <v>8.451918675181358E-3</v>
      </c>
      <c r="E55" s="189">
        <f t="shared" si="7"/>
        <v>0</v>
      </c>
      <c r="F55" s="189">
        <f t="shared" si="7"/>
        <v>0</v>
      </c>
      <c r="G55" s="189">
        <f t="shared" si="7"/>
        <v>0</v>
      </c>
      <c r="H55" s="23"/>
      <c r="I55" s="189" t="e">
        <f>I21</f>
        <v>#REF!</v>
      </c>
    </row>
    <row r="56" spans="1:9" ht="15" customHeight="1">
      <c r="A56" s="1130"/>
      <c r="B56" s="110"/>
      <c r="C56" s="168"/>
      <c r="D56" s="168"/>
      <c r="E56" s="168"/>
      <c r="F56" s="168"/>
      <c r="G56" s="168"/>
      <c r="H56" s="23"/>
      <c r="I56" s="760"/>
    </row>
    <row r="57" spans="1:9" ht="15" customHeight="1">
      <c r="A57" s="1130" t="s">
        <v>559</v>
      </c>
      <c r="B57" s="110"/>
      <c r="C57" s="168"/>
      <c r="D57" s="168"/>
      <c r="E57" s="168"/>
      <c r="F57" s="168"/>
      <c r="G57" s="168"/>
      <c r="H57" s="23"/>
      <c r="I57" s="760"/>
    </row>
    <row r="58" spans="1:9" ht="15" customHeight="1">
      <c r="A58" s="760"/>
      <c r="B58" s="760"/>
      <c r="C58" s="760"/>
      <c r="D58" s="760"/>
      <c r="E58" s="760"/>
      <c r="F58" s="760"/>
      <c r="G58" s="760"/>
      <c r="H58" s="760"/>
      <c r="I58" s="760"/>
    </row>
    <row r="59" spans="1:9">
      <c r="A59" s="1136" t="s">
        <v>487</v>
      </c>
      <c r="B59" s="1137" t="s">
        <v>552</v>
      </c>
      <c r="C59" s="1138" t="s">
        <v>553</v>
      </c>
      <c r="D59" s="1138"/>
      <c r="E59" s="1138"/>
      <c r="F59" s="1138"/>
      <c r="G59" s="1138"/>
      <c r="H59" s="760"/>
      <c r="I59" s="1137" t="s">
        <v>555</v>
      </c>
    </row>
    <row r="60" spans="1:9">
      <c r="A60" s="1136"/>
      <c r="B60" s="1139"/>
      <c r="C60" s="1140">
        <v>1</v>
      </c>
      <c r="D60" s="1140">
        <v>2</v>
      </c>
      <c r="E60" s="1140">
        <v>3</v>
      </c>
      <c r="F60" s="1140">
        <v>4</v>
      </c>
      <c r="G60" s="1140">
        <v>5</v>
      </c>
      <c r="H60" s="760"/>
      <c r="I60" s="1139"/>
    </row>
    <row r="61" spans="1:9">
      <c r="A61" s="771">
        <v>1</v>
      </c>
      <c r="B61" s="778" t="e">
        <f t="shared" ref="B61:G62" si="8">B19</f>
        <v>#REF!</v>
      </c>
      <c r="C61" s="109">
        <f t="shared" si="8"/>
        <v>1415.0159329995577</v>
      </c>
      <c r="D61" s="109">
        <f t="shared" si="8"/>
        <v>1415.0159329995577</v>
      </c>
      <c r="E61" s="109" t="e">
        <f t="shared" si="8"/>
        <v>#DIV/0!</v>
      </c>
      <c r="F61" s="109" t="e">
        <f t="shared" si="8"/>
        <v>#DIV/0!</v>
      </c>
      <c r="G61" s="109" t="e">
        <f t="shared" si="8"/>
        <v>#DIV/0!</v>
      </c>
      <c r="H61" s="760"/>
      <c r="I61" s="109" t="e">
        <f>I19</f>
        <v>#REF!</v>
      </c>
    </row>
    <row r="62" spans="1:9" ht="25.5" customHeight="1">
      <c r="A62" s="771">
        <v>2</v>
      </c>
      <c r="B62" s="778" t="e">
        <f t="shared" si="8"/>
        <v>#REF!</v>
      </c>
      <c r="C62" s="72">
        <f t="shared" si="8"/>
        <v>0.33477228850094126</v>
      </c>
      <c r="D62" s="72">
        <f t="shared" si="8"/>
        <v>0.33477228850094126</v>
      </c>
      <c r="E62" s="72" t="e">
        <f t="shared" si="8"/>
        <v>#VALUE!</v>
      </c>
      <c r="F62" s="72" t="e">
        <f t="shared" si="8"/>
        <v>#VALUE!</v>
      </c>
      <c r="G62" s="72" t="e">
        <f t="shared" si="8"/>
        <v>#VALUE!</v>
      </c>
      <c r="H62" s="760"/>
      <c r="I62" s="72" t="e">
        <f>I20</f>
        <v>#REF!</v>
      </c>
    </row>
  </sheetData>
  <mergeCells count="24">
    <mergeCell ref="I59:I60"/>
    <mergeCell ref="I4:I5"/>
    <mergeCell ref="B36:B37"/>
    <mergeCell ref="C36:G36"/>
    <mergeCell ref="A46:A47"/>
    <mergeCell ref="B46:B47"/>
    <mergeCell ref="C46:G46"/>
    <mergeCell ref="I36:I37"/>
    <mergeCell ref="I46:I47"/>
    <mergeCell ref="A36:A37"/>
    <mergeCell ref="I27:I28"/>
    <mergeCell ref="A4:A5"/>
    <mergeCell ref="B4:B5"/>
    <mergeCell ref="C4:G4"/>
    <mergeCell ref="I52:I53"/>
    <mergeCell ref="B52:B53"/>
    <mergeCell ref="A27:A28"/>
    <mergeCell ref="B27:B28"/>
    <mergeCell ref="C27:G27"/>
    <mergeCell ref="C52:G52"/>
    <mergeCell ref="A59:A60"/>
    <mergeCell ref="B59:B60"/>
    <mergeCell ref="C59:G59"/>
    <mergeCell ref="A52:A53"/>
  </mergeCells>
  <phoneticPr fontId="2" type="noConversion"/>
  <pageMargins left="0.75" right="0.75" top="1" bottom="1" header="0" footer="0"/>
  <pageSetup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30"/>
  <dimension ref="A1:J62"/>
  <sheetViews>
    <sheetView topLeftCell="A40" workbookViewId="0">
      <selection activeCell="A59" sqref="A59:I62"/>
    </sheetView>
  </sheetViews>
  <sheetFormatPr defaultColWidth="10.7109375" defaultRowHeight="13.15" outlineLevelCol="1"/>
  <cols>
    <col min="1" max="1" width="5.85546875" customWidth="1"/>
    <col min="2" max="2" width="32.140625" customWidth="1"/>
    <col min="3" max="7" width="11.42578125" hidden="1" customWidth="1" outlineLevel="1"/>
    <col min="8" max="8" width="2.42578125" customWidth="1" collapsed="1"/>
  </cols>
  <sheetData>
    <row r="1" spans="1:10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0" ht="15.6">
      <c r="A2" s="113" t="s">
        <v>551</v>
      </c>
      <c r="B2" s="23"/>
      <c r="C2" s="23"/>
      <c r="D2" s="23"/>
      <c r="E2" s="23"/>
      <c r="F2" s="23"/>
      <c r="G2" s="23"/>
      <c r="H2" s="23"/>
      <c r="I2" s="1085" t="e">
        <f>Strategy</f>
        <v>#REF!</v>
      </c>
      <c r="J2" s="23"/>
    </row>
    <row r="3" spans="1:10">
      <c r="A3" s="1067"/>
      <c r="B3" s="23"/>
      <c r="C3" s="23"/>
      <c r="D3" s="23"/>
      <c r="E3" s="23"/>
      <c r="F3" s="23"/>
      <c r="G3" s="23"/>
      <c r="H3" s="23"/>
      <c r="I3" s="23"/>
      <c r="J3" s="23"/>
    </row>
    <row r="4" spans="1:10">
      <c r="A4" s="1074" t="s">
        <v>487</v>
      </c>
      <c r="B4" s="1126" t="s">
        <v>552</v>
      </c>
      <c r="C4" s="1127" t="s">
        <v>553</v>
      </c>
      <c r="D4" s="1127"/>
      <c r="E4" s="1127"/>
      <c r="F4" s="1127"/>
      <c r="G4" s="1127"/>
      <c r="H4" s="46"/>
      <c r="I4" s="1074" t="s">
        <v>509</v>
      </c>
      <c r="J4" s="23"/>
    </row>
    <row r="5" spans="1:10">
      <c r="A5" s="1074"/>
      <c r="B5" s="1128"/>
      <c r="C5" s="1129">
        <v>1</v>
      </c>
      <c r="D5" s="1129">
        <v>2</v>
      </c>
      <c r="E5" s="1129">
        <v>3</v>
      </c>
      <c r="F5" s="1129">
        <v>4</v>
      </c>
      <c r="G5" s="1129">
        <v>5</v>
      </c>
      <c r="H5" s="46"/>
      <c r="I5" s="1074"/>
      <c r="J5" s="23"/>
    </row>
    <row r="6" spans="1:10" ht="23.25" customHeight="1">
      <c r="A6" s="37">
        <v>1</v>
      </c>
      <c r="B6" s="66" t="e">
        <f>#REF!</f>
        <v>#REF!</v>
      </c>
      <c r="C6" s="115">
        <v>261.07479307217784</v>
      </c>
      <c r="D6" s="115">
        <v>261.07479307217784</v>
      </c>
      <c r="E6" s="115" t="e">
        <v>#VALUE!</v>
      </c>
      <c r="F6" s="115" t="e">
        <v>#VALUE!</v>
      </c>
      <c r="G6" s="115" t="e">
        <v>#VALUE!</v>
      </c>
      <c r="H6" s="23"/>
      <c r="I6" s="115" t="e">
        <f>#REF!</f>
        <v>#REF!</v>
      </c>
      <c r="J6" s="23"/>
    </row>
    <row r="7" spans="1:10" ht="23.25" customHeight="1">
      <c r="A7" s="37">
        <v>2</v>
      </c>
      <c r="B7" s="66" t="e">
        <f>#REF!</f>
        <v>#REF!</v>
      </c>
      <c r="C7" s="115">
        <v>138.11332750605328</v>
      </c>
      <c r="D7" s="115">
        <v>138.11332750605328</v>
      </c>
      <c r="E7" s="115" t="e">
        <v>#VALUE!</v>
      </c>
      <c r="F7" s="115" t="e">
        <v>#VALUE!</v>
      </c>
      <c r="G7" s="115" t="e">
        <v>#VALUE!</v>
      </c>
      <c r="H7" s="23"/>
      <c r="I7" s="115" t="e">
        <f>#REF!</f>
        <v>#REF!</v>
      </c>
      <c r="J7" s="23"/>
    </row>
    <row r="8" spans="1:10" ht="23.25" customHeight="1">
      <c r="A8" s="37">
        <v>3</v>
      </c>
      <c r="B8" s="66" t="e">
        <f>#REF!</f>
        <v>#REF!</v>
      </c>
      <c r="C8" s="115">
        <v>399.18812057823112</v>
      </c>
      <c r="D8" s="115">
        <v>399.18812057823112</v>
      </c>
      <c r="E8" s="115" t="e">
        <v>#VALUE!</v>
      </c>
      <c r="F8" s="115" t="e">
        <v>#VALUE!</v>
      </c>
      <c r="G8" s="115" t="e">
        <v>#VALUE!</v>
      </c>
      <c r="H8" s="23"/>
      <c r="I8" s="115" t="e">
        <f>#REF!</f>
        <v>#REF!</v>
      </c>
      <c r="J8" s="23"/>
    </row>
    <row r="9" spans="1:10" ht="23.25" customHeight="1">
      <c r="A9" s="37">
        <v>4</v>
      </c>
      <c r="B9" s="66" t="e">
        <f>#REF!</f>
        <v>#REF!</v>
      </c>
      <c r="C9" s="115">
        <v>-2755.1548192816381</v>
      </c>
      <c r="D9" s="115">
        <v>-2755.1548192816381</v>
      </c>
      <c r="E9" s="115" t="e">
        <v>#DIV/0!</v>
      </c>
      <c r="F9" s="115" t="e">
        <v>#DIV/0!</v>
      </c>
      <c r="G9" s="115" t="e">
        <v>#DIV/0!</v>
      </c>
      <c r="H9" s="23"/>
      <c r="I9" s="115" t="e">
        <f>#REF!</f>
        <v>#REF!</v>
      </c>
      <c r="J9" s="23"/>
    </row>
    <row r="10" spans="1:10" ht="23.25" customHeight="1">
      <c r="A10" s="37">
        <v>5</v>
      </c>
      <c r="B10" s="66" t="e">
        <f>#REF!</f>
        <v>#REF!</v>
      </c>
      <c r="C10" s="115">
        <v>-172.19717620510238</v>
      </c>
      <c r="D10" s="115">
        <v>-172.19717620510238</v>
      </c>
      <c r="E10" s="115" t="e">
        <v>#DIV/0!</v>
      </c>
      <c r="F10" s="115" t="e">
        <v>#DIV/0!</v>
      </c>
      <c r="G10" s="115" t="e">
        <v>#DIV/0!</v>
      </c>
      <c r="H10" s="23"/>
      <c r="I10" s="115" t="e">
        <f>#REF!</f>
        <v>#REF!</v>
      </c>
      <c r="J10" s="23"/>
    </row>
    <row r="11" spans="1:10" ht="23.25" customHeight="1">
      <c r="A11" s="37">
        <v>6</v>
      </c>
      <c r="B11" s="66" t="e">
        <f>#REF!</f>
        <v>#REF!</v>
      </c>
      <c r="C11" s="115">
        <v>-2361.543323158613</v>
      </c>
      <c r="D11" s="115">
        <v>-2361.543323158613</v>
      </c>
      <c r="E11" s="115" t="e">
        <v>#VALUE!</v>
      </c>
      <c r="F11" s="115" t="e">
        <v>#VALUE!</v>
      </c>
      <c r="G11" s="115" t="e">
        <v>#VALUE!</v>
      </c>
      <c r="H11" s="23"/>
      <c r="I11" s="115" t="e">
        <f>#REF!</f>
        <v>#REF!</v>
      </c>
      <c r="J11" s="23"/>
    </row>
    <row r="12" spans="1:10" ht="23.25" customHeight="1">
      <c r="A12" s="37">
        <v>7</v>
      </c>
      <c r="B12" s="66" t="e">
        <f>#REF!</f>
        <v>#REF!</v>
      </c>
      <c r="C12" s="115">
        <v>-870.46236271843452</v>
      </c>
      <c r="D12" s="115">
        <v>-870.46236271843452</v>
      </c>
      <c r="E12" s="115" t="e">
        <v>#VALUE!</v>
      </c>
      <c r="F12" s="115" t="e">
        <v>#VALUE!</v>
      </c>
      <c r="G12" s="115" t="e">
        <v>#VALUE!</v>
      </c>
      <c r="H12" s="23"/>
      <c r="I12" s="115" t="e">
        <f>#REF!</f>
        <v>#REF!</v>
      </c>
      <c r="J12" s="23"/>
    </row>
    <row r="13" spans="1:10" ht="23.25" customHeight="1">
      <c r="A13" s="37">
        <v>8</v>
      </c>
      <c r="B13" s="66" t="e">
        <f>#REF!</f>
        <v>#REF!</v>
      </c>
      <c r="C13" s="115">
        <v>287.33049826793939</v>
      </c>
      <c r="D13" s="115">
        <v>287.33049826793939</v>
      </c>
      <c r="E13" s="115" t="e">
        <v>#VALUE!</v>
      </c>
      <c r="F13" s="115" t="e">
        <v>#VALUE!</v>
      </c>
      <c r="G13" s="115" t="e">
        <v>#VALUE!</v>
      </c>
      <c r="H13" s="23"/>
      <c r="I13" s="115" t="e">
        <f>#REF!</f>
        <v>#REF!</v>
      </c>
      <c r="J13" s="23"/>
    </row>
    <row r="14" spans="1:10" ht="23.25" customHeight="1">
      <c r="A14" s="37">
        <v>9</v>
      </c>
      <c r="B14" s="66" t="e">
        <f>#REF!</f>
        <v>#REF!</v>
      </c>
      <c r="C14" s="115">
        <v>223.15211241827919</v>
      </c>
      <c r="D14" s="115">
        <v>223.15211241827919</v>
      </c>
      <c r="E14" s="115" t="e">
        <v>#VALUE!</v>
      </c>
      <c r="F14" s="115" t="e">
        <v>#VALUE!</v>
      </c>
      <c r="G14" s="115" t="e">
        <v>#VALUE!</v>
      </c>
      <c r="H14" s="23"/>
      <c r="I14" s="115" t="e">
        <f>#REF!</f>
        <v>#REF!</v>
      </c>
      <c r="J14" s="23"/>
    </row>
    <row r="15" spans="1:10" ht="23.25" customHeight="1">
      <c r="A15" s="37">
        <v>10</v>
      </c>
      <c r="B15" s="66" t="e">
        <f>#REF!</f>
        <v>#REF!</v>
      </c>
      <c r="C15" s="115">
        <v>64.178385849660131</v>
      </c>
      <c r="D15" s="115">
        <v>64.178385849660131</v>
      </c>
      <c r="E15" s="115" t="e">
        <v>#VALUE!</v>
      </c>
      <c r="F15" s="115" t="e">
        <v>#VALUE!</v>
      </c>
      <c r="G15" s="115" t="e">
        <v>#VALUE!</v>
      </c>
      <c r="H15" s="23"/>
      <c r="I15" s="115" t="e">
        <f>#REF!</f>
        <v>#REF!</v>
      </c>
      <c r="J15" s="23"/>
    </row>
    <row r="16" spans="1:10" ht="23.25" customHeight="1">
      <c r="A16" s="37">
        <v>11</v>
      </c>
      <c r="B16" s="66" t="e">
        <f>#REF!</f>
        <v>#REF!</v>
      </c>
      <c r="C16" s="115">
        <v>-1157.7928609863736</v>
      </c>
      <c r="D16" s="115">
        <v>-1157.7928609863736</v>
      </c>
      <c r="E16" s="115" t="e">
        <v>#DIV/0!</v>
      </c>
      <c r="F16" s="115" t="e">
        <v>#DIV/0!</v>
      </c>
      <c r="G16" s="115" t="e">
        <v>#DIV/0!</v>
      </c>
      <c r="H16" s="23"/>
      <c r="I16" s="115" t="e">
        <f>#REF!</f>
        <v>#REF!</v>
      </c>
      <c r="J16" s="23"/>
    </row>
    <row r="17" spans="1:10" ht="23.25" customHeight="1">
      <c r="A17" s="37">
        <v>12</v>
      </c>
      <c r="B17" s="66" t="e">
        <f>#REF!</f>
        <v>#REF!</v>
      </c>
      <c r="C17" s="115">
        <v>-135.2644130792107</v>
      </c>
      <c r="D17" s="115">
        <v>-135.2644130792107</v>
      </c>
      <c r="E17" s="115" t="e">
        <v>#DIV/0!</v>
      </c>
      <c r="F17" s="115" t="e">
        <v>#DIV/0!</v>
      </c>
      <c r="G17" s="115" t="e">
        <v>#DIV/0!</v>
      </c>
      <c r="H17" s="23"/>
      <c r="I17" s="115" t="e">
        <f>#REF!</f>
        <v>#REF!</v>
      </c>
      <c r="J17" s="23"/>
    </row>
    <row r="18" spans="1:10" ht="26.25" customHeight="1">
      <c r="A18" s="37">
        <v>13</v>
      </c>
      <c r="B18" s="66" t="e">
        <f>#REF!</f>
        <v>#REF!</v>
      </c>
      <c r="C18" s="115">
        <v>673.83289082435113</v>
      </c>
      <c r="D18" s="115">
        <v>673.83289082435113</v>
      </c>
      <c r="E18" s="115" t="e">
        <v>#DIV/0!</v>
      </c>
      <c r="F18" s="115" t="e">
        <v>#DIV/0!</v>
      </c>
      <c r="G18" s="115" t="e">
        <v>#DIV/0!</v>
      </c>
      <c r="H18" s="23"/>
      <c r="I18" s="115" t="e">
        <f>#REF!</f>
        <v>#REF!</v>
      </c>
      <c r="J18" s="23"/>
    </row>
    <row r="19" spans="1:10" ht="26.25" customHeight="1">
      <c r="A19" s="37">
        <v>14</v>
      </c>
      <c r="B19" s="66" t="e">
        <f>#REF!</f>
        <v>#REF!</v>
      </c>
      <c r="C19" s="115">
        <v>1544.2952535427858</v>
      </c>
      <c r="D19" s="115">
        <v>1544.2952535427858</v>
      </c>
      <c r="E19" s="115" t="e">
        <v>#DIV/0!</v>
      </c>
      <c r="F19" s="115" t="e">
        <v>#DIV/0!</v>
      </c>
      <c r="G19" s="115" t="e">
        <v>#DIV/0!</v>
      </c>
      <c r="H19" s="23"/>
      <c r="I19" s="115" t="e">
        <f>#REF!</f>
        <v>#REF!</v>
      </c>
      <c r="J19" s="23"/>
    </row>
    <row r="20" spans="1:10" ht="26.25" customHeight="1">
      <c r="A20" s="37">
        <v>15</v>
      </c>
      <c r="B20" s="66" t="e">
        <f>#REF!</f>
        <v>#REF!</v>
      </c>
      <c r="C20" s="187">
        <v>0.39115214900377304</v>
      </c>
      <c r="D20" s="187">
        <v>0.39115214900377304</v>
      </c>
      <c r="E20" s="187" t="e">
        <v>#VALUE!</v>
      </c>
      <c r="F20" s="187" t="e">
        <v>#VALUE!</v>
      </c>
      <c r="G20" s="187" t="e">
        <v>#VALUE!</v>
      </c>
      <c r="H20" s="23"/>
      <c r="I20" s="187" t="e">
        <f>#REF!</f>
        <v>#REF!</v>
      </c>
      <c r="J20" s="23"/>
    </row>
    <row r="21" spans="1:10" ht="26.25" customHeight="1">
      <c r="A21" s="37">
        <v>16</v>
      </c>
      <c r="B21" s="66" t="e">
        <f>#REF!</f>
        <v>#REF!</v>
      </c>
      <c r="C21" s="188">
        <v>8.6385916256157321E-3</v>
      </c>
      <c r="D21" s="188">
        <v>8.451918675181358E-3</v>
      </c>
      <c r="E21" s="188"/>
      <c r="F21" s="188"/>
      <c r="G21" s="188"/>
      <c r="H21" s="23"/>
      <c r="I21" s="188" t="e">
        <f>#REF!</f>
        <v>#REF!</v>
      </c>
      <c r="J21" s="23"/>
    </row>
    <row r="22" spans="1:10" ht="26.25" customHeight="1">
      <c r="A22" s="78"/>
      <c r="B22" s="78"/>
      <c r="C22" s="78"/>
      <c r="D22" s="78"/>
      <c r="E22" s="78"/>
      <c r="F22" s="78"/>
      <c r="G22" s="78"/>
      <c r="H22" s="23"/>
      <c r="I22" s="78"/>
      <c r="J22" s="23"/>
    </row>
    <row r="23" spans="1:10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pans="1:10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>
      <c r="A25" s="1067" t="s">
        <v>554</v>
      </c>
      <c r="B25" s="23"/>
      <c r="C25" s="23"/>
      <c r="D25" s="23"/>
      <c r="E25" s="23"/>
      <c r="F25" s="23"/>
      <c r="G25" s="23"/>
      <c r="H25" s="23"/>
      <c r="I25" s="23"/>
      <c r="J25" s="23"/>
    </row>
    <row r="26" spans="1:10">
      <c r="A26" s="1067"/>
      <c r="B26" s="23"/>
      <c r="C26" s="23"/>
      <c r="D26" s="23"/>
      <c r="E26" s="23"/>
      <c r="F26" s="23"/>
      <c r="G26" s="23"/>
      <c r="H26" s="23"/>
      <c r="I26" s="23"/>
      <c r="J26" s="23"/>
    </row>
    <row r="27" spans="1:10">
      <c r="A27" s="1074" t="s">
        <v>487</v>
      </c>
      <c r="B27" s="1126" t="s">
        <v>552</v>
      </c>
      <c r="C27" s="1127" t="s">
        <v>553</v>
      </c>
      <c r="D27" s="1127"/>
      <c r="E27" s="1127"/>
      <c r="F27" s="1127"/>
      <c r="G27" s="1127"/>
      <c r="H27" s="46"/>
      <c r="I27" s="1074" t="s">
        <v>555</v>
      </c>
      <c r="J27" s="23"/>
    </row>
    <row r="28" spans="1:10">
      <c r="A28" s="1074"/>
      <c r="B28" s="1128"/>
      <c r="C28" s="1129">
        <v>1</v>
      </c>
      <c r="D28" s="1129">
        <v>2</v>
      </c>
      <c r="E28" s="1129">
        <v>3</v>
      </c>
      <c r="F28" s="1129">
        <v>4</v>
      </c>
      <c r="G28" s="1129">
        <v>5</v>
      </c>
      <c r="H28" s="23"/>
      <c r="I28" s="1074"/>
      <c r="J28" s="23"/>
    </row>
    <row r="29" spans="1:10" ht="26.25" customHeight="1">
      <c r="A29" s="771">
        <v>1</v>
      </c>
      <c r="B29" s="778" t="e">
        <f t="shared" ref="B29:G31" si="0">B6</f>
        <v>#REF!</v>
      </c>
      <c r="C29" s="109">
        <f t="shared" si="0"/>
        <v>261.07479307217784</v>
      </c>
      <c r="D29" s="109">
        <f t="shared" si="0"/>
        <v>261.07479307217784</v>
      </c>
      <c r="E29" s="109" t="e">
        <f t="shared" si="0"/>
        <v>#VALUE!</v>
      </c>
      <c r="F29" s="109" t="e">
        <f t="shared" si="0"/>
        <v>#VALUE!</v>
      </c>
      <c r="G29" s="109" t="e">
        <f t="shared" si="0"/>
        <v>#VALUE!</v>
      </c>
      <c r="H29" s="23"/>
      <c r="I29" s="109" t="e">
        <f>I6</f>
        <v>#REF!</v>
      </c>
      <c r="J29" s="23"/>
    </row>
    <row r="30" spans="1:10" ht="26.25" customHeight="1">
      <c r="A30" s="771">
        <v>2</v>
      </c>
      <c r="B30" s="778" t="e">
        <f t="shared" si="0"/>
        <v>#REF!</v>
      </c>
      <c r="C30" s="109">
        <f t="shared" si="0"/>
        <v>138.11332750605328</v>
      </c>
      <c r="D30" s="109">
        <f t="shared" si="0"/>
        <v>138.11332750605328</v>
      </c>
      <c r="E30" s="109" t="e">
        <f t="shared" si="0"/>
        <v>#VALUE!</v>
      </c>
      <c r="F30" s="109" t="e">
        <f t="shared" si="0"/>
        <v>#VALUE!</v>
      </c>
      <c r="G30" s="109" t="e">
        <f t="shared" si="0"/>
        <v>#VALUE!</v>
      </c>
      <c r="H30" s="23"/>
      <c r="I30" s="109" t="e">
        <f>I7</f>
        <v>#REF!</v>
      </c>
      <c r="J30" s="23"/>
    </row>
    <row r="31" spans="1:10" ht="26.25" customHeight="1">
      <c r="A31" s="771">
        <v>3</v>
      </c>
      <c r="B31" s="778" t="e">
        <f t="shared" si="0"/>
        <v>#REF!</v>
      </c>
      <c r="C31" s="109">
        <f t="shared" si="0"/>
        <v>399.18812057823112</v>
      </c>
      <c r="D31" s="109">
        <f t="shared" si="0"/>
        <v>399.18812057823112</v>
      </c>
      <c r="E31" s="109" t="e">
        <f t="shared" si="0"/>
        <v>#VALUE!</v>
      </c>
      <c r="F31" s="109" t="e">
        <f t="shared" si="0"/>
        <v>#VALUE!</v>
      </c>
      <c r="G31" s="109" t="e">
        <f t="shared" si="0"/>
        <v>#VALUE!</v>
      </c>
      <c r="H31" s="23"/>
      <c r="I31" s="109" t="e">
        <f>I8</f>
        <v>#REF!</v>
      </c>
      <c r="J31" s="23"/>
    </row>
    <row r="32" spans="1:10" ht="26.25" customHeight="1">
      <c r="A32" s="771">
        <v>4</v>
      </c>
      <c r="B32" s="778" t="e">
        <f t="shared" ref="B32:G32" si="1">B13</f>
        <v>#REF!</v>
      </c>
      <c r="C32" s="109">
        <f t="shared" si="1"/>
        <v>287.33049826793939</v>
      </c>
      <c r="D32" s="109">
        <f t="shared" si="1"/>
        <v>287.33049826793939</v>
      </c>
      <c r="E32" s="109" t="e">
        <f t="shared" si="1"/>
        <v>#VALUE!</v>
      </c>
      <c r="F32" s="109" t="e">
        <f t="shared" si="1"/>
        <v>#VALUE!</v>
      </c>
      <c r="G32" s="109" t="e">
        <f t="shared" si="1"/>
        <v>#VALUE!</v>
      </c>
      <c r="H32" s="23"/>
      <c r="I32" s="109" t="e">
        <f>I13</f>
        <v>#REF!</v>
      </c>
      <c r="J32" s="23"/>
    </row>
    <row r="33" spans="1:10">
      <c r="A33" s="77"/>
      <c r="B33" s="110"/>
      <c r="C33" s="111"/>
      <c r="D33" s="111"/>
      <c r="E33" s="111"/>
      <c r="F33" s="112"/>
      <c r="G33" s="112"/>
      <c r="H33" s="23"/>
      <c r="I33" s="23"/>
      <c r="J33" s="23"/>
    </row>
    <row r="34" spans="1:10">
      <c r="A34" s="1130" t="s">
        <v>556</v>
      </c>
      <c r="B34" s="760"/>
      <c r="C34" s="760"/>
      <c r="D34" s="760"/>
      <c r="E34" s="760"/>
      <c r="F34" s="760"/>
      <c r="G34" s="760"/>
      <c r="H34" s="23"/>
      <c r="I34" s="23"/>
      <c r="J34" s="23"/>
    </row>
    <row r="35" spans="1:10">
      <c r="A35" s="1130"/>
      <c r="B35" s="760"/>
      <c r="C35" s="760"/>
      <c r="D35" s="760"/>
      <c r="E35" s="760"/>
      <c r="F35" s="760"/>
      <c r="G35" s="760"/>
      <c r="H35" s="23"/>
      <c r="I35" s="23"/>
      <c r="J35" s="23"/>
    </row>
    <row r="36" spans="1:10">
      <c r="A36" s="1074" t="s">
        <v>487</v>
      </c>
      <c r="B36" s="1126" t="s">
        <v>552</v>
      </c>
      <c r="C36" s="1127" t="s">
        <v>553</v>
      </c>
      <c r="D36" s="1127"/>
      <c r="E36" s="1127"/>
      <c r="F36" s="1127"/>
      <c r="G36" s="1127"/>
      <c r="H36" s="46"/>
      <c r="I36" s="1074" t="s">
        <v>555</v>
      </c>
      <c r="J36" s="23"/>
    </row>
    <row r="37" spans="1:10">
      <c r="A37" s="1074"/>
      <c r="B37" s="1128"/>
      <c r="C37" s="1129">
        <v>1</v>
      </c>
      <c r="D37" s="1129">
        <v>2</v>
      </c>
      <c r="E37" s="1129">
        <v>3</v>
      </c>
      <c r="F37" s="1129">
        <v>4</v>
      </c>
      <c r="G37" s="1129">
        <v>5</v>
      </c>
      <c r="H37" s="23"/>
      <c r="I37" s="1074"/>
      <c r="J37" s="23"/>
    </row>
    <row r="38" spans="1:10" ht="26.25" customHeight="1">
      <c r="A38" s="771">
        <v>1</v>
      </c>
      <c r="B38" s="778" t="e">
        <f t="shared" ref="B38:G38" si="2">B13</f>
        <v>#REF!</v>
      </c>
      <c r="C38" s="109">
        <f t="shared" si="2"/>
        <v>287.33049826793939</v>
      </c>
      <c r="D38" s="109">
        <f t="shared" si="2"/>
        <v>287.33049826793939</v>
      </c>
      <c r="E38" s="109" t="e">
        <f t="shared" si="2"/>
        <v>#VALUE!</v>
      </c>
      <c r="F38" s="109" t="e">
        <f t="shared" si="2"/>
        <v>#VALUE!</v>
      </c>
      <c r="G38" s="109" t="e">
        <f t="shared" si="2"/>
        <v>#VALUE!</v>
      </c>
      <c r="H38" s="23"/>
      <c r="I38" s="109" t="e">
        <f>I13</f>
        <v>#REF!</v>
      </c>
      <c r="J38" s="23"/>
    </row>
    <row r="39" spans="1:10" ht="26.25" customHeight="1">
      <c r="A39" s="771">
        <v>2</v>
      </c>
      <c r="B39" s="778" t="e">
        <f t="shared" ref="B39:G40" si="3">B16</f>
        <v>#REF!</v>
      </c>
      <c r="C39" s="109">
        <f t="shared" si="3"/>
        <v>-1157.7928609863736</v>
      </c>
      <c r="D39" s="109">
        <f t="shared" si="3"/>
        <v>-1157.7928609863736</v>
      </c>
      <c r="E39" s="109" t="e">
        <f t="shared" si="3"/>
        <v>#DIV/0!</v>
      </c>
      <c r="F39" s="109" t="e">
        <f t="shared" si="3"/>
        <v>#DIV/0!</v>
      </c>
      <c r="G39" s="109" t="e">
        <f t="shared" si="3"/>
        <v>#DIV/0!</v>
      </c>
      <c r="H39" s="23"/>
      <c r="I39" s="109" t="e">
        <f>I16</f>
        <v>#REF!</v>
      </c>
      <c r="J39" s="23"/>
    </row>
    <row r="40" spans="1:10" ht="26.25" customHeight="1">
      <c r="A40" s="771">
        <v>3</v>
      </c>
      <c r="B40" s="778" t="e">
        <f t="shared" si="3"/>
        <v>#REF!</v>
      </c>
      <c r="C40" s="109">
        <f t="shared" si="3"/>
        <v>-135.2644130792107</v>
      </c>
      <c r="D40" s="109">
        <f t="shared" si="3"/>
        <v>-135.2644130792107</v>
      </c>
      <c r="E40" s="109" t="e">
        <f t="shared" si="3"/>
        <v>#DIV/0!</v>
      </c>
      <c r="F40" s="109" t="e">
        <f t="shared" si="3"/>
        <v>#DIV/0!</v>
      </c>
      <c r="G40" s="109" t="e">
        <f t="shared" si="3"/>
        <v>#DIV/0!</v>
      </c>
      <c r="H40" s="23"/>
      <c r="I40" s="109" t="e">
        <f>I17</f>
        <v>#REF!</v>
      </c>
      <c r="J40" s="23"/>
    </row>
    <row r="41" spans="1:10" ht="26.25" customHeight="1">
      <c r="A41" s="771">
        <v>4</v>
      </c>
      <c r="B41" s="778" t="e">
        <f t="shared" ref="B41:G42" si="4">B11</f>
        <v>#REF!</v>
      </c>
      <c r="C41" s="109">
        <f t="shared" si="4"/>
        <v>-2361.543323158613</v>
      </c>
      <c r="D41" s="109">
        <f t="shared" si="4"/>
        <v>-2361.543323158613</v>
      </c>
      <c r="E41" s="109" t="e">
        <f t="shared" si="4"/>
        <v>#VALUE!</v>
      </c>
      <c r="F41" s="109" t="e">
        <f t="shared" si="4"/>
        <v>#VALUE!</v>
      </c>
      <c r="G41" s="109" t="e">
        <f t="shared" si="4"/>
        <v>#VALUE!</v>
      </c>
      <c r="H41" s="23"/>
      <c r="I41" s="109" t="e">
        <f>I11</f>
        <v>#REF!</v>
      </c>
      <c r="J41" s="23"/>
    </row>
    <row r="42" spans="1:10" ht="26.25" customHeight="1">
      <c r="A42" s="771">
        <v>5</v>
      </c>
      <c r="B42" s="778" t="e">
        <f t="shared" si="4"/>
        <v>#REF!</v>
      </c>
      <c r="C42" s="109">
        <f t="shared" si="4"/>
        <v>-870.46236271843452</v>
      </c>
      <c r="D42" s="109">
        <f t="shared" si="4"/>
        <v>-870.46236271843452</v>
      </c>
      <c r="E42" s="109" t="e">
        <f t="shared" si="4"/>
        <v>#VALUE!</v>
      </c>
      <c r="F42" s="109" t="e">
        <f t="shared" si="4"/>
        <v>#VALUE!</v>
      </c>
      <c r="G42" s="109" t="e">
        <f t="shared" si="4"/>
        <v>#VALUE!</v>
      </c>
      <c r="H42" s="23"/>
      <c r="I42" s="109" t="e">
        <f>I12</f>
        <v>#REF!</v>
      </c>
      <c r="J42" s="23"/>
    </row>
    <row r="43" spans="1:10">
      <c r="A43" s="77"/>
      <c r="B43" s="110"/>
      <c r="C43" s="111"/>
      <c r="D43" s="111"/>
      <c r="E43" s="111"/>
      <c r="F43" s="112"/>
      <c r="G43" s="112"/>
      <c r="H43" s="23"/>
      <c r="I43" s="23"/>
      <c r="J43" s="23"/>
    </row>
    <row r="44" spans="1:10">
      <c r="A44" s="1130" t="s">
        <v>557</v>
      </c>
      <c r="B44" s="760"/>
      <c r="C44" s="760"/>
      <c r="D44" s="760"/>
      <c r="E44" s="760"/>
      <c r="F44" s="760"/>
      <c r="G44" s="760"/>
      <c r="H44" s="23"/>
      <c r="I44" s="23"/>
      <c r="J44" s="23"/>
    </row>
    <row r="45" spans="1:10">
      <c r="A45" s="1130"/>
      <c r="B45" s="760"/>
      <c r="C45" s="760"/>
      <c r="D45" s="760"/>
      <c r="E45" s="760"/>
      <c r="F45" s="760"/>
      <c r="G45" s="760"/>
      <c r="H45" s="23"/>
      <c r="I45" s="23"/>
      <c r="J45" s="23"/>
    </row>
    <row r="46" spans="1:10">
      <c r="A46" s="1074" t="s">
        <v>487</v>
      </c>
      <c r="B46" s="992" t="s">
        <v>552</v>
      </c>
      <c r="C46" s="1127" t="s">
        <v>553</v>
      </c>
      <c r="D46" s="1127"/>
      <c r="E46" s="1127"/>
      <c r="F46" s="1127"/>
      <c r="G46" s="1127"/>
      <c r="H46" s="46"/>
      <c r="I46" s="1074" t="s">
        <v>555</v>
      </c>
      <c r="J46" s="23"/>
    </row>
    <row r="47" spans="1:10">
      <c r="A47" s="1074"/>
      <c r="B47" s="993"/>
      <c r="C47" s="1129">
        <v>1</v>
      </c>
      <c r="D47" s="1129">
        <v>2</v>
      </c>
      <c r="E47" s="1129">
        <v>3</v>
      </c>
      <c r="F47" s="1129">
        <v>4</v>
      </c>
      <c r="G47" s="1129">
        <v>5</v>
      </c>
      <c r="H47" s="23"/>
      <c r="I47" s="1074"/>
      <c r="J47" s="23"/>
    </row>
    <row r="48" spans="1:10" ht="26.25" customHeight="1">
      <c r="A48" s="771">
        <v>1</v>
      </c>
      <c r="B48" s="778" t="e">
        <f t="shared" ref="B48:G48" si="5">B17</f>
        <v>#REF!</v>
      </c>
      <c r="C48" s="109">
        <f t="shared" si="5"/>
        <v>-135.2644130792107</v>
      </c>
      <c r="D48" s="109">
        <f t="shared" si="5"/>
        <v>-135.2644130792107</v>
      </c>
      <c r="E48" s="109" t="e">
        <f t="shared" si="5"/>
        <v>#DIV/0!</v>
      </c>
      <c r="F48" s="109" t="e">
        <f t="shared" si="5"/>
        <v>#DIV/0!</v>
      </c>
      <c r="G48" s="109" t="e">
        <f t="shared" si="5"/>
        <v>#DIV/0!</v>
      </c>
      <c r="H48" s="23"/>
      <c r="I48" s="109" t="e">
        <f>I17</f>
        <v>#REF!</v>
      </c>
      <c r="J48" s="23"/>
    </row>
    <row r="50" spans="1:9">
      <c r="A50" s="1130" t="s">
        <v>558</v>
      </c>
      <c r="B50" s="760"/>
      <c r="C50" s="760"/>
      <c r="D50" s="760"/>
      <c r="E50" s="760"/>
      <c r="F50" s="760"/>
      <c r="G50" s="760"/>
      <c r="H50" s="760"/>
      <c r="I50" s="760"/>
    </row>
    <row r="52" spans="1:9">
      <c r="A52" s="1131" t="s">
        <v>487</v>
      </c>
      <c r="B52" s="1132" t="s">
        <v>552</v>
      </c>
      <c r="C52" s="1133" t="s">
        <v>553</v>
      </c>
      <c r="D52" s="1133"/>
      <c r="E52" s="1133"/>
      <c r="F52" s="1133"/>
      <c r="G52" s="1133"/>
      <c r="H52" s="46"/>
      <c r="I52" s="1132" t="s">
        <v>555</v>
      </c>
    </row>
    <row r="53" spans="1:9">
      <c r="A53" s="1131"/>
      <c r="B53" s="1134"/>
      <c r="C53" s="1135">
        <v>1</v>
      </c>
      <c r="D53" s="1135">
        <v>2</v>
      </c>
      <c r="E53" s="1135">
        <v>3</v>
      </c>
      <c r="F53" s="1135">
        <v>4</v>
      </c>
      <c r="G53" s="1135">
        <v>5</v>
      </c>
      <c r="H53" s="23"/>
      <c r="I53" s="1134"/>
    </row>
    <row r="54" spans="1:9" ht="26.25" customHeight="1">
      <c r="A54" s="771">
        <v>1</v>
      </c>
      <c r="B54" s="778" t="e">
        <f t="shared" ref="B54:G54" si="6">B18</f>
        <v>#REF!</v>
      </c>
      <c r="C54" s="109">
        <f t="shared" si="6"/>
        <v>673.83289082435113</v>
      </c>
      <c r="D54" s="109">
        <f t="shared" si="6"/>
        <v>673.83289082435113</v>
      </c>
      <c r="E54" s="109" t="e">
        <f t="shared" si="6"/>
        <v>#DIV/0!</v>
      </c>
      <c r="F54" s="109" t="e">
        <f t="shared" si="6"/>
        <v>#DIV/0!</v>
      </c>
      <c r="G54" s="109" t="e">
        <f t="shared" si="6"/>
        <v>#DIV/0!</v>
      </c>
      <c r="H54" s="23"/>
      <c r="I54" s="109" t="e">
        <f>I18</f>
        <v>#REF!</v>
      </c>
    </row>
    <row r="55" spans="1:9" ht="26.25" customHeight="1">
      <c r="A55" s="771">
        <v>2</v>
      </c>
      <c r="B55" s="778" t="e">
        <f t="shared" ref="B55:G55" si="7">B21</f>
        <v>#REF!</v>
      </c>
      <c r="C55" s="189">
        <f t="shared" si="7"/>
        <v>8.6385916256157321E-3</v>
      </c>
      <c r="D55" s="189">
        <f t="shared" si="7"/>
        <v>8.451918675181358E-3</v>
      </c>
      <c r="E55" s="189">
        <f t="shared" si="7"/>
        <v>0</v>
      </c>
      <c r="F55" s="189">
        <f t="shared" si="7"/>
        <v>0</v>
      </c>
      <c r="G55" s="189">
        <f t="shared" si="7"/>
        <v>0</v>
      </c>
      <c r="H55" s="23"/>
      <c r="I55" s="189" t="e">
        <f>I21</f>
        <v>#REF!</v>
      </c>
    </row>
    <row r="56" spans="1:9" ht="15" customHeight="1">
      <c r="A56" s="1130"/>
      <c r="B56" s="110"/>
      <c r="C56" s="168"/>
      <c r="D56" s="168"/>
      <c r="E56" s="168"/>
      <c r="F56" s="168"/>
      <c r="G56" s="168"/>
      <c r="H56" s="23"/>
      <c r="I56" s="760"/>
    </row>
    <row r="57" spans="1:9" ht="15" customHeight="1">
      <c r="A57" s="1130" t="s">
        <v>559</v>
      </c>
      <c r="B57" s="110"/>
      <c r="C57" s="168"/>
      <c r="D57" s="168"/>
      <c r="E57" s="168"/>
      <c r="F57" s="168"/>
      <c r="G57" s="168"/>
      <c r="H57" s="23"/>
      <c r="I57" s="760"/>
    </row>
    <row r="58" spans="1:9" ht="15" customHeight="1">
      <c r="A58" s="760"/>
      <c r="B58" s="760"/>
      <c r="C58" s="760"/>
      <c r="D58" s="760"/>
      <c r="E58" s="760"/>
      <c r="F58" s="760"/>
      <c r="G58" s="760"/>
      <c r="H58" s="760"/>
      <c r="I58" s="760"/>
    </row>
    <row r="59" spans="1:9">
      <c r="A59" s="1136" t="s">
        <v>487</v>
      </c>
      <c r="B59" s="1137" t="s">
        <v>552</v>
      </c>
      <c r="C59" s="1138" t="s">
        <v>553</v>
      </c>
      <c r="D59" s="1138"/>
      <c r="E59" s="1138"/>
      <c r="F59" s="1138"/>
      <c r="G59" s="1138"/>
      <c r="H59" s="760"/>
      <c r="I59" s="1137" t="s">
        <v>555</v>
      </c>
    </row>
    <row r="60" spans="1:9">
      <c r="A60" s="1136"/>
      <c r="B60" s="1139"/>
      <c r="C60" s="1140">
        <v>1</v>
      </c>
      <c r="D60" s="1140">
        <v>2</v>
      </c>
      <c r="E60" s="1140">
        <v>3</v>
      </c>
      <c r="F60" s="1140">
        <v>4</v>
      </c>
      <c r="G60" s="1140">
        <v>5</v>
      </c>
      <c r="H60" s="760"/>
      <c r="I60" s="1139"/>
    </row>
    <row r="61" spans="1:9">
      <c r="A61" s="771">
        <v>1</v>
      </c>
      <c r="B61" s="778" t="e">
        <f t="shared" ref="B61:G62" si="8">B19</f>
        <v>#REF!</v>
      </c>
      <c r="C61" s="109">
        <f t="shared" si="8"/>
        <v>1544.2952535427858</v>
      </c>
      <c r="D61" s="109">
        <f t="shared" si="8"/>
        <v>1544.2952535427858</v>
      </c>
      <c r="E61" s="109" t="e">
        <f t="shared" si="8"/>
        <v>#DIV/0!</v>
      </c>
      <c r="F61" s="109" t="e">
        <f t="shared" si="8"/>
        <v>#DIV/0!</v>
      </c>
      <c r="G61" s="109" t="e">
        <f t="shared" si="8"/>
        <v>#DIV/0!</v>
      </c>
      <c r="H61" s="760"/>
      <c r="I61" s="109" t="e">
        <f>I19</f>
        <v>#REF!</v>
      </c>
    </row>
    <row r="62" spans="1:9" ht="25.5" customHeight="1">
      <c r="A62" s="771">
        <v>2</v>
      </c>
      <c r="B62" s="778" t="e">
        <f t="shared" si="8"/>
        <v>#REF!</v>
      </c>
      <c r="C62" s="72">
        <f t="shared" si="8"/>
        <v>0.39115214900377304</v>
      </c>
      <c r="D62" s="72">
        <f t="shared" si="8"/>
        <v>0.39115214900377304</v>
      </c>
      <c r="E62" s="72" t="e">
        <f t="shared" si="8"/>
        <v>#VALUE!</v>
      </c>
      <c r="F62" s="72" t="e">
        <f t="shared" si="8"/>
        <v>#VALUE!</v>
      </c>
      <c r="G62" s="72" t="e">
        <f t="shared" si="8"/>
        <v>#VALUE!</v>
      </c>
      <c r="H62" s="760"/>
      <c r="I62" s="72" t="e">
        <f>I20</f>
        <v>#REF!</v>
      </c>
    </row>
  </sheetData>
  <mergeCells count="24">
    <mergeCell ref="I59:I60"/>
    <mergeCell ref="I4:I5"/>
    <mergeCell ref="B36:B37"/>
    <mergeCell ref="C36:G36"/>
    <mergeCell ref="A46:A47"/>
    <mergeCell ref="B46:B47"/>
    <mergeCell ref="C46:G46"/>
    <mergeCell ref="I36:I37"/>
    <mergeCell ref="I46:I47"/>
    <mergeCell ref="A36:A37"/>
    <mergeCell ref="I27:I28"/>
    <mergeCell ref="A4:A5"/>
    <mergeCell ref="B4:B5"/>
    <mergeCell ref="C4:G4"/>
    <mergeCell ref="I52:I53"/>
    <mergeCell ref="B52:B53"/>
    <mergeCell ref="A27:A28"/>
    <mergeCell ref="B27:B28"/>
    <mergeCell ref="C27:G27"/>
    <mergeCell ref="C52:G52"/>
    <mergeCell ref="A59:A60"/>
    <mergeCell ref="B59:B60"/>
    <mergeCell ref="C59:G59"/>
    <mergeCell ref="A52:A53"/>
  </mergeCells>
  <phoneticPr fontId="2" type="noConversion"/>
  <pageMargins left="0.75" right="0.75" top="1" bottom="1" header="0" footer="0"/>
  <pageSetup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32"/>
  <dimension ref="A1:K144"/>
  <sheetViews>
    <sheetView workbookViewId="0">
      <selection activeCell="A3" sqref="A3:J21"/>
    </sheetView>
  </sheetViews>
  <sheetFormatPr defaultColWidth="10.7109375" defaultRowHeight="13.15" outlineLevelCol="1"/>
  <cols>
    <col min="1" max="1" width="29.7109375" customWidth="1"/>
    <col min="2" max="2" width="0" hidden="1" customWidth="1"/>
    <col min="3" max="3" width="10.42578125" customWidth="1" outlineLevel="1"/>
    <col min="4" max="4" width="11.7109375" customWidth="1" outlineLevel="1"/>
    <col min="5" max="5" width="11.42578125" customWidth="1" outlineLevel="1"/>
    <col min="6" max="8" width="11.140625" customWidth="1" outlineLevel="1"/>
    <col min="9" max="9" width="10.42578125" customWidth="1" outlineLevel="1"/>
    <col min="10" max="10" width="9.85546875" customWidth="1" outlineLevel="1"/>
  </cols>
  <sheetData>
    <row r="1" spans="1:11">
      <c r="A1" s="1130" t="s">
        <v>560</v>
      </c>
      <c r="B1" s="760"/>
      <c r="C1" s="760"/>
      <c r="D1" s="760"/>
      <c r="E1" s="760"/>
      <c r="F1" s="760"/>
      <c r="G1" s="760"/>
      <c r="H1" s="760"/>
      <c r="I1" s="760"/>
      <c r="J1" s="760"/>
      <c r="K1" s="760"/>
    </row>
    <row r="3" spans="1:11">
      <c r="A3" s="1130" t="s">
        <v>561</v>
      </c>
      <c r="B3" s="1130"/>
      <c r="C3" s="1130" t="s">
        <v>562</v>
      </c>
      <c r="D3" s="760"/>
      <c r="E3" s="760"/>
      <c r="F3" s="760"/>
      <c r="G3" s="760"/>
      <c r="H3" s="760"/>
      <c r="I3" s="760"/>
      <c r="J3" s="760"/>
      <c r="K3" s="760"/>
    </row>
    <row r="4" spans="1:11">
      <c r="A4" s="1130" t="s">
        <v>563</v>
      </c>
      <c r="B4" s="1130"/>
      <c r="C4" s="352">
        <v>1544.2952535427858</v>
      </c>
      <c r="D4" s="760"/>
      <c r="E4" s="760"/>
      <c r="F4" s="760"/>
      <c r="G4" s="760"/>
      <c r="H4" s="760"/>
      <c r="I4" s="760"/>
      <c r="J4" s="760"/>
      <c r="K4" s="760"/>
    </row>
    <row r="5" spans="1:11">
      <c r="A5" s="957" t="s">
        <v>14</v>
      </c>
      <c r="B5" s="957" t="s">
        <v>564</v>
      </c>
      <c r="C5" s="143" t="s">
        <v>565</v>
      </c>
      <c r="D5" s="144" t="s">
        <v>566</v>
      </c>
      <c r="E5" s="145"/>
      <c r="F5" s="144" t="s">
        <v>567</v>
      </c>
      <c r="G5" s="145"/>
      <c r="H5" s="146" t="s">
        <v>568</v>
      </c>
      <c r="I5" s="143" t="s">
        <v>568</v>
      </c>
      <c r="J5" s="143" t="s">
        <v>568</v>
      </c>
      <c r="K5" s="760"/>
    </row>
    <row r="6" spans="1:11">
      <c r="A6" s="957"/>
      <c r="B6" s="957"/>
      <c r="C6" s="147" t="s">
        <v>509</v>
      </c>
      <c r="D6" s="148" t="s">
        <v>509</v>
      </c>
      <c r="E6" s="148" t="s">
        <v>569</v>
      </c>
      <c r="F6" s="148" t="s">
        <v>509</v>
      </c>
      <c r="G6" s="148" t="s">
        <v>569</v>
      </c>
      <c r="H6" s="149" t="s">
        <v>569</v>
      </c>
      <c r="I6" s="147" t="s">
        <v>570</v>
      </c>
      <c r="J6" s="147" t="s">
        <v>571</v>
      </c>
      <c r="K6" s="760"/>
    </row>
    <row r="7" spans="1:11" ht="25.5" customHeight="1">
      <c r="A7" s="161" t="s">
        <v>572</v>
      </c>
      <c r="B7" s="161">
        <v>35</v>
      </c>
      <c r="C7" s="348">
        <v>-0.05</v>
      </c>
      <c r="D7" s="348">
        <v>-0.03</v>
      </c>
      <c r="E7" s="349">
        <v>1141.0449742824214</v>
      </c>
      <c r="F7" s="348">
        <v>-7.0000000000000007E-2</v>
      </c>
      <c r="G7" s="349">
        <v>1683.6738434699539</v>
      </c>
      <c r="H7" s="349">
        <v>542.62886918753247</v>
      </c>
      <c r="I7" s="351">
        <v>0.27113407487678592</v>
      </c>
      <c r="J7" s="72">
        <f>I7</f>
        <v>0.27113407487678592</v>
      </c>
      <c r="K7" s="76">
        <f>I7</f>
        <v>0.27113407487678592</v>
      </c>
    </row>
    <row r="8" spans="1:11" ht="25.5" customHeight="1">
      <c r="A8" s="161" t="s">
        <v>573</v>
      </c>
      <c r="B8" s="161">
        <v>33</v>
      </c>
      <c r="C8" s="349">
        <v>0.66817345295205499</v>
      </c>
      <c r="D8" s="349">
        <v>0.6</v>
      </c>
      <c r="E8" s="349">
        <v>1188.0913482865853</v>
      </c>
      <c r="F8" s="349">
        <v>0.76101790588935303</v>
      </c>
      <c r="G8" s="349">
        <v>1653.616574000996</v>
      </c>
      <c r="H8" s="349">
        <v>465.52522571441068</v>
      </c>
      <c r="I8" s="351">
        <v>0.47069005582918633</v>
      </c>
      <c r="J8" s="72">
        <f>I8-I7</f>
        <v>0.1995559809524004</v>
      </c>
      <c r="K8" s="76">
        <f t="shared" ref="K8:K21" si="0">I8-I7</f>
        <v>0.1995559809524004</v>
      </c>
    </row>
    <row r="9" spans="1:11" ht="25.5" customHeight="1">
      <c r="A9" s="161" t="s">
        <v>574</v>
      </c>
      <c r="B9" s="161">
        <v>34</v>
      </c>
      <c r="C9" s="349">
        <v>0.48684210526315802</v>
      </c>
      <c r="D9" s="349">
        <v>0.47</v>
      </c>
      <c r="E9" s="349">
        <v>1590.1055565076183</v>
      </c>
      <c r="F9" s="349">
        <v>0.55000000000000004</v>
      </c>
      <c r="G9" s="349">
        <v>1130.8194702278865</v>
      </c>
      <c r="H9" s="349">
        <v>459.28608627973176</v>
      </c>
      <c r="I9" s="351">
        <v>0.66493283713892049</v>
      </c>
      <c r="J9" s="72">
        <f t="shared" ref="J9:J21" si="1">I9-I8</f>
        <v>0.19424278130973416</v>
      </c>
      <c r="K9" s="76">
        <f t="shared" si="0"/>
        <v>0.19424278130973416</v>
      </c>
    </row>
    <row r="10" spans="1:11" ht="25.5" customHeight="1">
      <c r="A10" s="161" t="s">
        <v>575</v>
      </c>
      <c r="B10" s="161">
        <v>13</v>
      </c>
      <c r="C10" s="348">
        <v>0.53559999999999997</v>
      </c>
      <c r="D10" s="348">
        <v>0.50882000000000005</v>
      </c>
      <c r="E10" s="349">
        <v>1638.5694294066413</v>
      </c>
      <c r="F10" s="348">
        <v>0.58916000000000002</v>
      </c>
      <c r="G10" s="349">
        <v>1249.8993532514692</v>
      </c>
      <c r="H10" s="349">
        <v>388.67007615517218</v>
      </c>
      <c r="I10" s="351">
        <v>0.80403712615961909</v>
      </c>
      <c r="J10" s="72">
        <f t="shared" si="1"/>
        <v>0.1391042890206986</v>
      </c>
      <c r="K10" s="76">
        <f t="shared" si="0"/>
        <v>0.1391042890206986</v>
      </c>
    </row>
    <row r="11" spans="1:11" ht="25.5" customHeight="1">
      <c r="A11" s="161" t="s">
        <v>576</v>
      </c>
      <c r="B11" s="161">
        <v>23</v>
      </c>
      <c r="C11" s="348">
        <v>0.22800000000000001</v>
      </c>
      <c r="D11" s="348">
        <v>0.20399999999999999</v>
      </c>
      <c r="E11" s="349">
        <v>1473.3654755612749</v>
      </c>
      <c r="F11" s="348">
        <v>0.29499999999999998</v>
      </c>
      <c r="G11" s="349">
        <v>1742.3075504078361</v>
      </c>
      <c r="H11" s="349">
        <v>268.94207484656113</v>
      </c>
      <c r="I11" s="351">
        <v>0.87064043603445462</v>
      </c>
      <c r="J11" s="72">
        <f t="shared" si="1"/>
        <v>6.6603309874835537E-2</v>
      </c>
      <c r="K11" s="76">
        <f t="shared" si="0"/>
        <v>6.6603309874835537E-2</v>
      </c>
    </row>
    <row r="12" spans="1:11" ht="25.5" customHeight="1">
      <c r="A12" s="161" t="s">
        <v>577</v>
      </c>
      <c r="B12" s="161">
        <v>15</v>
      </c>
      <c r="C12" s="348">
        <v>0.6</v>
      </c>
      <c r="D12" s="348">
        <v>0.56999999999999995</v>
      </c>
      <c r="E12" s="349">
        <v>1390.7947898426098</v>
      </c>
      <c r="F12" s="348">
        <v>0.63</v>
      </c>
      <c r="G12" s="349">
        <v>1640.5358000152085</v>
      </c>
      <c r="H12" s="349">
        <v>249.74101017259864</v>
      </c>
      <c r="I12" s="351">
        <v>0.92807297793477628</v>
      </c>
      <c r="J12" s="72">
        <f t="shared" si="1"/>
        <v>5.7432541900321654E-2</v>
      </c>
      <c r="K12" s="76">
        <f t="shared" si="0"/>
        <v>5.7432541900321654E-2</v>
      </c>
    </row>
    <row r="13" spans="1:11" ht="25.5" customHeight="1">
      <c r="A13" s="161" t="s">
        <v>578</v>
      </c>
      <c r="B13" s="161">
        <v>59</v>
      </c>
      <c r="C13" s="348">
        <v>0.4</v>
      </c>
      <c r="D13" s="348">
        <v>0.35</v>
      </c>
      <c r="E13" s="349">
        <v>1460.0661421897416</v>
      </c>
      <c r="F13" s="348">
        <v>0.45</v>
      </c>
      <c r="G13" s="349">
        <v>1628.5243648958294</v>
      </c>
      <c r="H13" s="349">
        <v>168.45822270608778</v>
      </c>
      <c r="I13" s="351">
        <v>0.95420438160381871</v>
      </c>
      <c r="J13" s="72">
        <f t="shared" si="1"/>
        <v>2.613140366904243E-2</v>
      </c>
      <c r="K13" s="76">
        <f t="shared" si="0"/>
        <v>2.613140366904243E-2</v>
      </c>
    </row>
    <row r="14" spans="1:11" ht="25.5" customHeight="1">
      <c r="A14" s="161" t="s">
        <v>579</v>
      </c>
      <c r="B14" s="161">
        <v>60</v>
      </c>
      <c r="C14" s="348">
        <v>0.08</v>
      </c>
      <c r="D14" s="348">
        <v>7.1999999999999995E-2</v>
      </c>
      <c r="E14" s="349">
        <v>1476.9119644603504</v>
      </c>
      <c r="F14" s="348">
        <v>8.7999999999999995E-2</v>
      </c>
      <c r="G14" s="349">
        <v>1611.6785426252204</v>
      </c>
      <c r="H14" s="349">
        <v>134.76657816487</v>
      </c>
      <c r="I14" s="351">
        <v>0.97092847995200582</v>
      </c>
      <c r="J14" s="72">
        <f t="shared" si="1"/>
        <v>1.6724098348187111E-2</v>
      </c>
      <c r="K14" s="76">
        <f t="shared" si="0"/>
        <v>1.6724098348187111E-2</v>
      </c>
    </row>
    <row r="15" spans="1:11" ht="25.5" customHeight="1">
      <c r="A15" s="161" t="s">
        <v>580</v>
      </c>
      <c r="B15" s="161">
        <v>47</v>
      </c>
      <c r="C15" s="350">
        <v>2</v>
      </c>
      <c r="D15" s="350">
        <v>1</v>
      </c>
      <c r="E15" s="349">
        <v>1561.2021615541432</v>
      </c>
      <c r="F15" s="350">
        <v>3</v>
      </c>
      <c r="G15" s="349">
        <v>1442.8538054746409</v>
      </c>
      <c r="H15" s="349">
        <v>118.34835607950231</v>
      </c>
      <c r="I15" s="351">
        <v>0.98382589777611906</v>
      </c>
      <c r="J15" s="72">
        <f t="shared" si="1"/>
        <v>1.2897417824113244E-2</v>
      </c>
      <c r="K15" s="76">
        <f t="shared" si="0"/>
        <v>1.2897417824113244E-2</v>
      </c>
    </row>
    <row r="16" spans="1:11" ht="25.5" customHeight="1">
      <c r="A16" s="161" t="s">
        <v>581</v>
      </c>
      <c r="B16" s="161">
        <v>18</v>
      </c>
      <c r="C16" s="348">
        <v>6.1508556347310298E-2</v>
      </c>
      <c r="D16" s="348">
        <v>0.05</v>
      </c>
      <c r="E16" s="349">
        <v>1477.8555244247582</v>
      </c>
      <c r="F16" s="348">
        <v>6.7299999999999999E-2</v>
      </c>
      <c r="G16" s="349">
        <v>1580.3867173364995</v>
      </c>
      <c r="H16" s="349">
        <v>102.5311929117413</v>
      </c>
      <c r="I16" s="351">
        <v>0.99350623151967765</v>
      </c>
      <c r="J16" s="72">
        <f t="shared" si="1"/>
        <v>9.680333743558589E-3</v>
      </c>
      <c r="K16" s="76">
        <f t="shared" si="0"/>
        <v>9.680333743558589E-3</v>
      </c>
    </row>
    <row r="17" spans="1:11" ht="25.5" customHeight="1">
      <c r="A17" s="161" t="s">
        <v>582</v>
      </c>
      <c r="B17" s="161">
        <v>10</v>
      </c>
      <c r="C17" s="348">
        <v>1.0999999999999999E-2</v>
      </c>
      <c r="D17" s="348">
        <v>1.0449999999999999E-2</v>
      </c>
      <c r="E17" s="349">
        <v>1533.6767422079929</v>
      </c>
      <c r="F17" s="348">
        <v>1.21E-2</v>
      </c>
      <c r="G17" s="349">
        <v>1584.2775598725136</v>
      </c>
      <c r="H17" s="349">
        <v>50.600817664520719</v>
      </c>
      <c r="I17" s="351">
        <v>0.99586395777308012</v>
      </c>
      <c r="J17" s="72">
        <f t="shared" si="1"/>
        <v>2.3577262534024701E-3</v>
      </c>
      <c r="K17" s="76">
        <f t="shared" si="0"/>
        <v>2.3577262534024701E-3</v>
      </c>
    </row>
    <row r="18" spans="1:11" ht="25.5" customHeight="1">
      <c r="A18" s="161" t="s">
        <v>583</v>
      </c>
      <c r="B18" s="161">
        <v>58</v>
      </c>
      <c r="C18" s="348">
        <v>0.29599999999999999</v>
      </c>
      <c r="D18" s="348">
        <v>0.28599999999999998</v>
      </c>
      <c r="E18" s="349">
        <v>1521.530628852774</v>
      </c>
      <c r="F18" s="348">
        <v>0.30499999999999999</v>
      </c>
      <c r="G18" s="349">
        <v>1564.7834157637963</v>
      </c>
      <c r="H18" s="349">
        <v>43.252786911022213</v>
      </c>
      <c r="I18" s="351">
        <v>0.99758664526842789</v>
      </c>
      <c r="J18" s="72">
        <f t="shared" si="1"/>
        <v>1.7226874953477633E-3</v>
      </c>
      <c r="K18" s="76">
        <f t="shared" si="0"/>
        <v>1.7226874953477633E-3</v>
      </c>
    </row>
    <row r="19" spans="1:11" ht="25.5" customHeight="1">
      <c r="A19" s="161" t="s">
        <v>584</v>
      </c>
      <c r="B19" s="161">
        <v>14</v>
      </c>
      <c r="C19" s="348">
        <v>0.02</v>
      </c>
      <c r="D19" s="348">
        <v>0.01</v>
      </c>
      <c r="E19" s="349">
        <v>1504.8068341801149</v>
      </c>
      <c r="F19" s="348">
        <v>0.03</v>
      </c>
      <c r="G19" s="349">
        <v>1545.0472380222773</v>
      </c>
      <c r="H19" s="349">
        <v>40.240403842162323</v>
      </c>
      <c r="I19" s="351">
        <v>0.99907773222454399</v>
      </c>
      <c r="J19" s="72">
        <f t="shared" si="1"/>
        <v>1.4910869561161055E-3</v>
      </c>
      <c r="K19" s="76">
        <f t="shared" si="0"/>
        <v>1.4910869561161055E-3</v>
      </c>
    </row>
    <row r="20" spans="1:11" ht="25.5" customHeight="1">
      <c r="A20" s="161" t="s">
        <v>585</v>
      </c>
      <c r="B20" s="161">
        <v>45</v>
      </c>
      <c r="C20" s="350">
        <v>2</v>
      </c>
      <c r="D20" s="350">
        <v>1</v>
      </c>
      <c r="E20" s="349">
        <v>1550.6648925321374</v>
      </c>
      <c r="F20" s="350">
        <v>3</v>
      </c>
      <c r="G20" s="349">
        <v>1531.5474199043638</v>
      </c>
      <c r="H20" s="349">
        <v>19.117472627773623</v>
      </c>
      <c r="I20" s="351">
        <v>0.99941427421892504</v>
      </c>
      <c r="J20" s="72">
        <f t="shared" si="1"/>
        <v>3.3654199438104548E-4</v>
      </c>
      <c r="K20" s="76">
        <f t="shared" si="0"/>
        <v>3.3654199438104548E-4</v>
      </c>
    </row>
    <row r="21" spans="1:11" ht="25.5" customHeight="1">
      <c r="A21" s="161" t="s">
        <v>586</v>
      </c>
      <c r="B21" s="161">
        <v>46</v>
      </c>
      <c r="C21" s="350">
        <v>2</v>
      </c>
      <c r="D21" s="350">
        <v>1</v>
      </c>
      <c r="E21" s="349">
        <v>1550.5163085428387</v>
      </c>
      <c r="F21" s="350">
        <v>3</v>
      </c>
      <c r="G21" s="349">
        <v>1531.8531435426792</v>
      </c>
      <c r="H21" s="349">
        <v>18.663165000159552</v>
      </c>
      <c r="I21" s="351">
        <v>0.9997350110997042</v>
      </c>
      <c r="J21" s="72">
        <f t="shared" si="1"/>
        <v>3.2073688077915996E-4</v>
      </c>
      <c r="K21" s="76">
        <f t="shared" si="0"/>
        <v>3.2073688077915996E-4</v>
      </c>
    </row>
    <row r="25" spans="1:11">
      <c r="A25" s="1130" t="s">
        <v>561</v>
      </c>
      <c r="B25" s="1130" t="s">
        <v>587</v>
      </c>
      <c r="C25" s="1130" t="s">
        <v>588</v>
      </c>
      <c r="D25" s="760"/>
      <c r="E25" s="760"/>
      <c r="F25" s="760"/>
      <c r="G25" s="760"/>
      <c r="H25" s="760"/>
      <c r="I25" s="760"/>
      <c r="J25" s="760"/>
      <c r="K25" s="760"/>
    </row>
    <row r="26" spans="1:11">
      <c r="A26" s="1130" t="s">
        <v>563</v>
      </c>
      <c r="B26" s="1130">
        <v>165.1924255805026</v>
      </c>
      <c r="C26" s="1141"/>
      <c r="D26" s="760"/>
      <c r="E26" s="760"/>
      <c r="F26" s="760"/>
      <c r="G26" s="760"/>
      <c r="H26" s="760"/>
      <c r="I26" s="760"/>
      <c r="J26" s="760"/>
      <c r="K26" s="760"/>
    </row>
    <row r="27" spans="1:11">
      <c r="A27" s="958" t="s">
        <v>14</v>
      </c>
      <c r="B27" s="958" t="s">
        <v>564</v>
      </c>
      <c r="C27" s="153" t="s">
        <v>565</v>
      </c>
      <c r="D27" s="154" t="s">
        <v>566</v>
      </c>
      <c r="E27" s="155"/>
      <c r="F27" s="154" t="s">
        <v>567</v>
      </c>
      <c r="G27" s="155"/>
      <c r="H27" s="156" t="s">
        <v>568</v>
      </c>
      <c r="I27" s="153" t="s">
        <v>568</v>
      </c>
      <c r="J27" s="153" t="s">
        <v>568</v>
      </c>
      <c r="K27" s="760"/>
    </row>
    <row r="28" spans="1:11">
      <c r="A28" s="958"/>
      <c r="B28" s="958"/>
      <c r="C28" s="157" t="s">
        <v>509</v>
      </c>
      <c r="D28" s="158" t="s">
        <v>509</v>
      </c>
      <c r="E28" s="158" t="s">
        <v>569</v>
      </c>
      <c r="F28" s="158" t="s">
        <v>509</v>
      </c>
      <c r="G28" s="158" t="s">
        <v>569</v>
      </c>
      <c r="H28" s="159" t="s">
        <v>569</v>
      </c>
      <c r="I28" s="157" t="s">
        <v>570</v>
      </c>
      <c r="J28" s="157" t="s">
        <v>571</v>
      </c>
      <c r="K28" s="760"/>
    </row>
    <row r="29" spans="1:11" ht="25.5" customHeight="1">
      <c r="A29" s="8"/>
      <c r="B29" s="8"/>
      <c r="C29" s="72"/>
      <c r="D29" s="72"/>
      <c r="E29" s="190"/>
      <c r="F29" s="72"/>
      <c r="G29" s="190"/>
      <c r="H29" s="72"/>
      <c r="I29" s="72"/>
      <c r="J29" s="72"/>
      <c r="K29" s="76">
        <f>I29</f>
        <v>0</v>
      </c>
    </row>
    <row r="30" spans="1:11" ht="25.5" customHeight="1">
      <c r="A30" s="8"/>
      <c r="B30" s="8"/>
      <c r="C30" s="72"/>
      <c r="D30" s="72"/>
      <c r="E30" s="190"/>
      <c r="F30" s="72"/>
      <c r="G30" s="190"/>
      <c r="H30" s="72"/>
      <c r="I30" s="72"/>
      <c r="J30" s="72"/>
      <c r="K30" s="76">
        <f t="shared" ref="K30:K43" si="2">I30-I29</f>
        <v>0</v>
      </c>
    </row>
    <row r="31" spans="1:11" ht="25.5" customHeight="1">
      <c r="A31" s="8"/>
      <c r="B31" s="8"/>
      <c r="C31" s="72"/>
      <c r="D31" s="72"/>
      <c r="E31" s="190"/>
      <c r="F31" s="72"/>
      <c r="G31" s="190"/>
      <c r="H31" s="72"/>
      <c r="I31" s="72"/>
      <c r="J31" s="72"/>
      <c r="K31" s="76">
        <f t="shared" si="2"/>
        <v>0</v>
      </c>
    </row>
    <row r="32" spans="1:11" ht="25.5" customHeight="1">
      <c r="A32" s="8"/>
      <c r="B32" s="8"/>
      <c r="C32" s="72"/>
      <c r="D32" s="72"/>
      <c r="E32" s="190"/>
      <c r="F32" s="72"/>
      <c r="G32" s="190"/>
      <c r="H32" s="72"/>
      <c r="I32" s="72"/>
      <c r="J32" s="72"/>
      <c r="K32" s="76">
        <f t="shared" si="2"/>
        <v>0</v>
      </c>
    </row>
    <row r="33" spans="1:11" ht="25.5" customHeight="1">
      <c r="A33" s="8"/>
      <c r="B33" s="8"/>
      <c r="C33" s="72"/>
      <c r="D33" s="72"/>
      <c r="E33" s="190"/>
      <c r="F33" s="72"/>
      <c r="G33" s="190"/>
      <c r="H33" s="72"/>
      <c r="I33" s="72"/>
      <c r="J33" s="72"/>
      <c r="K33" s="76">
        <f t="shared" si="2"/>
        <v>0</v>
      </c>
    </row>
    <row r="34" spans="1:11" ht="25.5" customHeight="1">
      <c r="A34" s="8"/>
      <c r="B34" s="8"/>
      <c r="C34" s="75"/>
      <c r="D34" s="75"/>
      <c r="E34" s="190"/>
      <c r="F34" s="75"/>
      <c r="G34" s="190"/>
      <c r="H34" s="72"/>
      <c r="I34" s="72"/>
      <c r="J34" s="72"/>
      <c r="K34" s="76">
        <f t="shared" si="2"/>
        <v>0</v>
      </c>
    </row>
    <row r="35" spans="1:11" ht="25.5" customHeight="1">
      <c r="A35" s="8"/>
      <c r="B35" s="8"/>
      <c r="C35" s="75"/>
      <c r="D35" s="75"/>
      <c r="E35" s="190"/>
      <c r="F35" s="75"/>
      <c r="G35" s="190"/>
      <c r="H35" s="72"/>
      <c r="I35" s="72"/>
      <c r="J35" s="72"/>
      <c r="K35" s="76">
        <f t="shared" si="2"/>
        <v>0</v>
      </c>
    </row>
    <row r="36" spans="1:11" ht="25.5" customHeight="1">
      <c r="A36" s="8"/>
      <c r="B36" s="8"/>
      <c r="C36" s="72"/>
      <c r="D36" s="72"/>
      <c r="E36" s="190"/>
      <c r="F36" s="72"/>
      <c r="G36" s="190"/>
      <c r="H36" s="72"/>
      <c r="I36" s="72"/>
      <c r="J36" s="72"/>
      <c r="K36" s="76">
        <f t="shared" si="2"/>
        <v>0</v>
      </c>
    </row>
    <row r="37" spans="1:11" ht="25.5" customHeight="1">
      <c r="A37" s="8"/>
      <c r="B37" s="8"/>
      <c r="C37" s="72"/>
      <c r="D37" s="72"/>
      <c r="E37" s="190"/>
      <c r="F37" s="72"/>
      <c r="G37" s="190"/>
      <c r="H37" s="72"/>
      <c r="I37" s="72"/>
      <c r="J37" s="72"/>
      <c r="K37" s="76">
        <f t="shared" si="2"/>
        <v>0</v>
      </c>
    </row>
    <row r="38" spans="1:11" ht="25.5" customHeight="1">
      <c r="A38" s="8"/>
      <c r="B38" s="8"/>
      <c r="C38" s="75"/>
      <c r="D38" s="75"/>
      <c r="E38" s="190"/>
      <c r="F38" s="75"/>
      <c r="G38" s="190"/>
      <c r="H38" s="72"/>
      <c r="I38" s="72"/>
      <c r="J38" s="72"/>
      <c r="K38" s="76">
        <f t="shared" si="2"/>
        <v>0</v>
      </c>
    </row>
    <row r="39" spans="1:11" ht="25.5" customHeight="1">
      <c r="A39" s="8"/>
      <c r="B39" s="8"/>
      <c r="C39" s="152"/>
      <c r="D39" s="152"/>
      <c r="E39" s="190"/>
      <c r="F39" s="152"/>
      <c r="G39" s="190"/>
      <c r="H39" s="72"/>
      <c r="I39" s="72"/>
      <c r="J39" s="72"/>
      <c r="K39" s="76">
        <f t="shared" si="2"/>
        <v>0</v>
      </c>
    </row>
    <row r="40" spans="1:11" ht="25.5" customHeight="1">
      <c r="A40" s="8"/>
      <c r="B40" s="8"/>
      <c r="C40" s="152"/>
      <c r="D40" s="152"/>
      <c r="E40" s="190"/>
      <c r="F40" s="152"/>
      <c r="G40" s="190"/>
      <c r="H40" s="72"/>
      <c r="I40" s="72"/>
      <c r="J40" s="72"/>
      <c r="K40" s="76">
        <f t="shared" si="2"/>
        <v>0</v>
      </c>
    </row>
    <row r="41" spans="1:11" ht="25.5" customHeight="1">
      <c r="A41" s="8"/>
      <c r="B41" s="8"/>
      <c r="C41" s="152"/>
      <c r="D41" s="152"/>
      <c r="E41" s="190"/>
      <c r="F41" s="152"/>
      <c r="G41" s="190"/>
      <c r="H41" s="72"/>
      <c r="I41" s="72"/>
      <c r="J41" s="72"/>
      <c r="K41" s="76">
        <f t="shared" si="2"/>
        <v>0</v>
      </c>
    </row>
    <row r="42" spans="1:11" ht="25.5" customHeight="1">
      <c r="A42" s="8"/>
      <c r="B42" s="8"/>
      <c r="C42" s="72"/>
      <c r="D42" s="72"/>
      <c r="E42" s="190"/>
      <c r="F42" s="72"/>
      <c r="G42" s="190"/>
      <c r="H42" s="72"/>
      <c r="I42" s="72"/>
      <c r="J42" s="72"/>
      <c r="K42" s="76">
        <f t="shared" si="2"/>
        <v>0</v>
      </c>
    </row>
    <row r="43" spans="1:11" ht="25.5" customHeight="1">
      <c r="A43" s="8"/>
      <c r="B43" s="8"/>
      <c r="C43" s="72"/>
      <c r="D43" s="72"/>
      <c r="E43" s="190"/>
      <c r="F43" s="72"/>
      <c r="G43" s="190"/>
      <c r="H43" s="72"/>
      <c r="I43" s="72"/>
      <c r="J43" s="72"/>
      <c r="K43" s="76">
        <f t="shared" si="2"/>
        <v>0</v>
      </c>
    </row>
    <row r="50" spans="1:11">
      <c r="A50" s="1130" t="s">
        <v>589</v>
      </c>
      <c r="B50" s="760"/>
      <c r="C50" s="760"/>
      <c r="D50" s="760"/>
      <c r="E50" s="760"/>
      <c r="F50" s="760"/>
      <c r="G50" s="760"/>
      <c r="H50" s="760"/>
      <c r="I50" s="760"/>
      <c r="J50" s="760"/>
      <c r="K50" s="760"/>
    </row>
    <row r="52" spans="1:11">
      <c r="A52" s="1130" t="s">
        <v>561</v>
      </c>
      <c r="B52" s="1130"/>
      <c r="C52" s="1130" t="s">
        <v>562</v>
      </c>
      <c r="D52" s="760"/>
      <c r="E52" s="760"/>
      <c r="F52" s="760"/>
      <c r="G52" s="760"/>
      <c r="H52" s="760"/>
      <c r="I52" s="760"/>
      <c r="J52" s="760"/>
      <c r="K52" s="760"/>
    </row>
    <row r="53" spans="1:11">
      <c r="A53" s="1130" t="s">
        <v>563</v>
      </c>
      <c r="B53" s="1130"/>
      <c r="C53" s="1142"/>
      <c r="D53" s="760"/>
      <c r="E53" s="760"/>
      <c r="F53" s="760"/>
      <c r="G53" s="760"/>
      <c r="H53" s="760"/>
      <c r="I53" s="760"/>
      <c r="J53" s="760"/>
      <c r="K53" s="760"/>
    </row>
    <row r="54" spans="1:11">
      <c r="A54" s="957" t="s">
        <v>14</v>
      </c>
      <c r="B54" s="957" t="s">
        <v>564</v>
      </c>
      <c r="C54" s="143" t="s">
        <v>565</v>
      </c>
      <c r="D54" s="144" t="s">
        <v>566</v>
      </c>
      <c r="E54" s="145"/>
      <c r="F54" s="144" t="s">
        <v>567</v>
      </c>
      <c r="G54" s="145"/>
      <c r="H54" s="146" t="s">
        <v>568</v>
      </c>
      <c r="I54" s="143" t="s">
        <v>568</v>
      </c>
      <c r="J54" s="143" t="s">
        <v>568</v>
      </c>
      <c r="K54" s="760"/>
    </row>
    <row r="55" spans="1:11">
      <c r="A55" s="957"/>
      <c r="B55" s="957"/>
      <c r="C55" s="147" t="s">
        <v>509</v>
      </c>
      <c r="D55" s="148" t="s">
        <v>509</v>
      </c>
      <c r="E55" s="148" t="s">
        <v>569</v>
      </c>
      <c r="F55" s="148" t="s">
        <v>509</v>
      </c>
      <c r="G55" s="148" t="s">
        <v>569</v>
      </c>
      <c r="H55" s="149" t="s">
        <v>569</v>
      </c>
      <c r="I55" s="147" t="s">
        <v>570</v>
      </c>
      <c r="J55" s="147" t="s">
        <v>571</v>
      </c>
      <c r="K55" s="760"/>
    </row>
    <row r="56" spans="1:11" ht="26.25" customHeight="1">
      <c r="A56" s="8"/>
      <c r="B56" s="8"/>
      <c r="C56" s="72"/>
      <c r="D56" s="72"/>
      <c r="E56" s="75"/>
      <c r="F56" s="72"/>
      <c r="G56" s="75"/>
      <c r="H56" s="75"/>
      <c r="I56" s="72"/>
      <c r="J56" s="72"/>
      <c r="K56" s="76">
        <f>I56</f>
        <v>0</v>
      </c>
    </row>
    <row r="57" spans="1:11" ht="26.25" customHeight="1">
      <c r="A57" s="8"/>
      <c r="B57" s="8"/>
      <c r="C57" s="75"/>
      <c r="D57" s="75"/>
      <c r="E57" s="75"/>
      <c r="F57" s="75"/>
      <c r="G57" s="75"/>
      <c r="H57" s="75"/>
      <c r="I57" s="72"/>
      <c r="J57" s="72"/>
      <c r="K57" s="76">
        <f t="shared" ref="K57:K70" si="3">I57-I56</f>
        <v>0</v>
      </c>
    </row>
    <row r="58" spans="1:11" ht="26.25" customHeight="1">
      <c r="A58" s="8"/>
      <c r="B58" s="8"/>
      <c r="C58" s="75"/>
      <c r="D58" s="75"/>
      <c r="E58" s="75"/>
      <c r="F58" s="75"/>
      <c r="G58" s="75"/>
      <c r="H58" s="75"/>
      <c r="I58" s="72"/>
      <c r="J58" s="72"/>
      <c r="K58" s="76">
        <f t="shared" si="3"/>
        <v>0</v>
      </c>
    </row>
    <row r="59" spans="1:11" ht="26.25" customHeight="1">
      <c r="A59" s="8"/>
      <c r="B59" s="8"/>
      <c r="C59" s="72"/>
      <c r="D59" s="72"/>
      <c r="E59" s="75"/>
      <c r="F59" s="72"/>
      <c r="G59" s="75"/>
      <c r="H59" s="75"/>
      <c r="I59" s="72"/>
      <c r="J59" s="72"/>
      <c r="K59" s="76">
        <f t="shared" si="3"/>
        <v>0</v>
      </c>
    </row>
    <row r="60" spans="1:11" ht="26.25" customHeight="1">
      <c r="A60" s="8"/>
      <c r="B60" s="8"/>
      <c r="C60" s="72"/>
      <c r="D60" s="72"/>
      <c r="E60" s="75"/>
      <c r="F60" s="72"/>
      <c r="G60" s="75"/>
      <c r="H60" s="75"/>
      <c r="I60" s="72"/>
      <c r="J60" s="72"/>
      <c r="K60" s="76">
        <f t="shared" si="3"/>
        <v>0</v>
      </c>
    </row>
    <row r="61" spans="1:11" ht="26.25" customHeight="1">
      <c r="A61" s="8"/>
      <c r="B61" s="8"/>
      <c r="C61" s="72"/>
      <c r="D61" s="72"/>
      <c r="E61" s="75"/>
      <c r="F61" s="72"/>
      <c r="G61" s="75"/>
      <c r="H61" s="75"/>
      <c r="I61" s="72"/>
      <c r="J61" s="72"/>
      <c r="K61" s="76">
        <f t="shared" si="3"/>
        <v>0</v>
      </c>
    </row>
    <row r="62" spans="1:11" ht="26.25" customHeight="1">
      <c r="A62" s="8"/>
      <c r="B62" s="8"/>
      <c r="C62" s="72"/>
      <c r="D62" s="72"/>
      <c r="E62" s="75"/>
      <c r="F62" s="72"/>
      <c r="G62" s="75"/>
      <c r="H62" s="75"/>
      <c r="I62" s="72"/>
      <c r="J62" s="72"/>
      <c r="K62" s="76">
        <f t="shared" si="3"/>
        <v>0</v>
      </c>
    </row>
    <row r="63" spans="1:11" ht="26.25" customHeight="1">
      <c r="A63" s="8"/>
      <c r="B63" s="8"/>
      <c r="C63" s="72"/>
      <c r="D63" s="72"/>
      <c r="E63" s="75"/>
      <c r="F63" s="72"/>
      <c r="G63" s="75"/>
      <c r="H63" s="75"/>
      <c r="I63" s="72"/>
      <c r="J63" s="72"/>
      <c r="K63" s="76">
        <f t="shared" si="3"/>
        <v>0</v>
      </c>
    </row>
    <row r="64" spans="1:11" ht="26.25" customHeight="1">
      <c r="A64" s="8"/>
      <c r="B64" s="8"/>
      <c r="C64" s="72"/>
      <c r="D64" s="72"/>
      <c r="E64" s="75"/>
      <c r="F64" s="72"/>
      <c r="G64" s="75"/>
      <c r="H64" s="75"/>
      <c r="I64" s="72"/>
      <c r="J64" s="72"/>
      <c r="K64" s="76">
        <f t="shared" si="3"/>
        <v>0</v>
      </c>
    </row>
    <row r="65" spans="1:11" ht="26.25" customHeight="1">
      <c r="A65" s="8"/>
      <c r="B65" s="8"/>
      <c r="C65" s="152"/>
      <c r="D65" s="152"/>
      <c r="E65" s="75"/>
      <c r="F65" s="152"/>
      <c r="G65" s="75"/>
      <c r="H65" s="75"/>
      <c r="I65" s="72"/>
      <c r="J65" s="72"/>
      <c r="K65" s="76">
        <f t="shared" si="3"/>
        <v>0</v>
      </c>
    </row>
    <row r="66" spans="1:11" ht="26.25" customHeight="1">
      <c r="A66" s="8"/>
      <c r="B66" s="8"/>
      <c r="C66" s="72"/>
      <c r="D66" s="72"/>
      <c r="E66" s="75"/>
      <c r="F66" s="72"/>
      <c r="G66" s="75"/>
      <c r="H66" s="75"/>
      <c r="I66" s="72"/>
      <c r="J66" s="72"/>
      <c r="K66" s="76">
        <f t="shared" si="3"/>
        <v>0</v>
      </c>
    </row>
    <row r="67" spans="1:11" ht="26.25" customHeight="1">
      <c r="A67" s="8"/>
      <c r="B67" s="8"/>
      <c r="C67" s="72"/>
      <c r="D67" s="72"/>
      <c r="E67" s="75"/>
      <c r="F67" s="72"/>
      <c r="G67" s="75"/>
      <c r="H67" s="75"/>
      <c r="I67" s="72"/>
      <c r="J67" s="72"/>
      <c r="K67" s="76">
        <f t="shared" si="3"/>
        <v>0</v>
      </c>
    </row>
    <row r="68" spans="1:11" ht="26.25" customHeight="1">
      <c r="A68" s="8"/>
      <c r="B68" s="8"/>
      <c r="C68" s="72"/>
      <c r="D68" s="72"/>
      <c r="E68" s="75"/>
      <c r="F68" s="72"/>
      <c r="G68" s="75"/>
      <c r="H68" s="75"/>
      <c r="I68" s="72"/>
      <c r="J68" s="72"/>
      <c r="K68" s="76">
        <f t="shared" si="3"/>
        <v>0</v>
      </c>
    </row>
    <row r="69" spans="1:11" ht="26.25" customHeight="1">
      <c r="A69" s="8"/>
      <c r="B69" s="8"/>
      <c r="C69" s="152"/>
      <c r="D69" s="152"/>
      <c r="E69" s="75"/>
      <c r="F69" s="152"/>
      <c r="G69" s="75"/>
      <c r="H69" s="75"/>
      <c r="I69" s="72"/>
      <c r="J69" s="72"/>
      <c r="K69" s="76">
        <f t="shared" si="3"/>
        <v>0</v>
      </c>
    </row>
    <row r="70" spans="1:11" ht="26.25" customHeight="1">
      <c r="A70" s="8"/>
      <c r="B70" s="8"/>
      <c r="C70" s="152"/>
      <c r="D70" s="152"/>
      <c r="E70" s="75"/>
      <c r="F70" s="152"/>
      <c r="G70" s="75"/>
      <c r="H70" s="75"/>
      <c r="I70" s="72"/>
      <c r="J70" s="72"/>
      <c r="K70" s="76">
        <f t="shared" si="3"/>
        <v>0</v>
      </c>
    </row>
    <row r="76" spans="1:11">
      <c r="A76" s="1130" t="s">
        <v>561</v>
      </c>
      <c r="B76" s="1130" t="s">
        <v>587</v>
      </c>
      <c r="C76" s="1130" t="s">
        <v>588</v>
      </c>
      <c r="D76" s="760"/>
      <c r="E76" s="760"/>
      <c r="F76" s="760"/>
      <c r="G76" s="760"/>
      <c r="H76" s="760"/>
      <c r="I76" s="760"/>
      <c r="J76" s="760"/>
      <c r="K76" s="760"/>
    </row>
    <row r="77" spans="1:11">
      <c r="A77" s="1130" t="s">
        <v>563</v>
      </c>
      <c r="B77" s="1130">
        <v>165.1924255805026</v>
      </c>
      <c r="C77" s="192"/>
      <c r="D77" s="760"/>
      <c r="E77" s="760"/>
      <c r="F77" s="760"/>
      <c r="G77" s="760"/>
      <c r="H77" s="760"/>
      <c r="I77" s="760"/>
      <c r="J77" s="760"/>
      <c r="K77" s="760"/>
    </row>
    <row r="78" spans="1:11">
      <c r="A78" s="958" t="s">
        <v>14</v>
      </c>
      <c r="B78" s="958" t="s">
        <v>564</v>
      </c>
      <c r="C78" s="153" t="s">
        <v>565</v>
      </c>
      <c r="D78" s="154" t="s">
        <v>566</v>
      </c>
      <c r="E78" s="155"/>
      <c r="F78" s="154" t="s">
        <v>567</v>
      </c>
      <c r="G78" s="155"/>
      <c r="H78" s="156" t="s">
        <v>568</v>
      </c>
      <c r="I78" s="153" t="s">
        <v>568</v>
      </c>
      <c r="J78" s="153" t="s">
        <v>568</v>
      </c>
      <c r="K78" s="760"/>
    </row>
    <row r="79" spans="1:11">
      <c r="A79" s="958"/>
      <c r="B79" s="958"/>
      <c r="C79" s="157" t="s">
        <v>509</v>
      </c>
      <c r="D79" s="158" t="s">
        <v>509</v>
      </c>
      <c r="E79" s="158" t="s">
        <v>569</v>
      </c>
      <c r="F79" s="158" t="s">
        <v>509</v>
      </c>
      <c r="G79" s="158" t="s">
        <v>569</v>
      </c>
      <c r="H79" s="159" t="s">
        <v>569</v>
      </c>
      <c r="I79" s="157" t="s">
        <v>570</v>
      </c>
      <c r="J79" s="157" t="s">
        <v>571</v>
      </c>
      <c r="K79" s="760"/>
    </row>
    <row r="80" spans="1:11" ht="25.5" customHeight="1">
      <c r="A80" s="8"/>
      <c r="B80" s="8"/>
      <c r="C80" s="72"/>
      <c r="D80" s="72"/>
      <c r="E80" s="190"/>
      <c r="F80" s="72"/>
      <c r="G80" s="190"/>
      <c r="H80" s="190"/>
      <c r="I80" s="72"/>
      <c r="J80" s="72"/>
      <c r="K80" s="76">
        <f>I80</f>
        <v>0</v>
      </c>
    </row>
    <row r="81" spans="1:11" ht="25.5" customHeight="1">
      <c r="A81" s="8"/>
      <c r="B81" s="8"/>
      <c r="C81" s="72"/>
      <c r="D81" s="72"/>
      <c r="E81" s="190"/>
      <c r="F81" s="72"/>
      <c r="G81" s="190"/>
      <c r="H81" s="190"/>
      <c r="I81" s="72"/>
      <c r="J81" s="72"/>
      <c r="K81" s="76">
        <f t="shared" ref="K81:K94" si="4">I81-I80</f>
        <v>0</v>
      </c>
    </row>
    <row r="82" spans="1:11" ht="25.5" customHeight="1">
      <c r="A82" s="8"/>
      <c r="B82" s="8"/>
      <c r="C82" s="72"/>
      <c r="D82" s="72"/>
      <c r="E82" s="190"/>
      <c r="F82" s="72"/>
      <c r="G82" s="190"/>
      <c r="H82" s="190"/>
      <c r="I82" s="72"/>
      <c r="J82" s="72"/>
      <c r="K82" s="76">
        <f t="shared" si="4"/>
        <v>0</v>
      </c>
    </row>
    <row r="83" spans="1:11" ht="25.5" customHeight="1">
      <c r="A83" s="8"/>
      <c r="B83" s="8"/>
      <c r="C83" s="75"/>
      <c r="D83" s="75"/>
      <c r="E83" s="190"/>
      <c r="F83" s="75"/>
      <c r="G83" s="190"/>
      <c r="H83" s="190"/>
      <c r="I83" s="72"/>
      <c r="J83" s="72"/>
      <c r="K83" s="76">
        <f t="shared" si="4"/>
        <v>0</v>
      </c>
    </row>
    <row r="84" spans="1:11" ht="25.5" customHeight="1">
      <c r="A84" s="8"/>
      <c r="B84" s="8"/>
      <c r="C84" s="75"/>
      <c r="D84" s="75"/>
      <c r="E84" s="190"/>
      <c r="F84" s="75"/>
      <c r="G84" s="190"/>
      <c r="H84" s="190"/>
      <c r="I84" s="72"/>
      <c r="J84" s="72"/>
      <c r="K84" s="76">
        <f t="shared" si="4"/>
        <v>0</v>
      </c>
    </row>
    <row r="85" spans="1:11" ht="25.5" customHeight="1">
      <c r="A85" s="8"/>
      <c r="B85" s="8"/>
      <c r="C85" s="72"/>
      <c r="D85" s="72"/>
      <c r="E85" s="190"/>
      <c r="F85" s="72"/>
      <c r="G85" s="190"/>
      <c r="H85" s="190"/>
      <c r="I85" s="72"/>
      <c r="J85" s="72"/>
      <c r="K85" s="76">
        <f t="shared" si="4"/>
        <v>0</v>
      </c>
    </row>
    <row r="86" spans="1:11" ht="25.5" customHeight="1">
      <c r="A86" s="8"/>
      <c r="B86" s="8"/>
      <c r="C86" s="72"/>
      <c r="D86" s="72"/>
      <c r="E86" s="190"/>
      <c r="F86" s="72"/>
      <c r="G86" s="190"/>
      <c r="H86" s="190"/>
      <c r="I86" s="72"/>
      <c r="J86" s="72"/>
      <c r="K86" s="76">
        <f t="shared" si="4"/>
        <v>0</v>
      </c>
    </row>
    <row r="87" spans="1:11" ht="25.5" customHeight="1">
      <c r="A87" s="8"/>
      <c r="B87" s="8"/>
      <c r="C87" s="72"/>
      <c r="D87" s="72"/>
      <c r="E87" s="190"/>
      <c r="F87" s="72"/>
      <c r="G87" s="190"/>
      <c r="H87" s="190"/>
      <c r="I87" s="72"/>
      <c r="J87" s="72"/>
      <c r="K87" s="76">
        <f t="shared" si="4"/>
        <v>0</v>
      </c>
    </row>
    <row r="88" spans="1:11" ht="25.5" customHeight="1">
      <c r="A88" s="8"/>
      <c r="B88" s="8"/>
      <c r="C88" s="72"/>
      <c r="D88" s="72"/>
      <c r="E88" s="190"/>
      <c r="F88" s="72"/>
      <c r="G88" s="190"/>
      <c r="H88" s="190"/>
      <c r="I88" s="72"/>
      <c r="J88" s="72"/>
      <c r="K88" s="76">
        <f t="shared" si="4"/>
        <v>0</v>
      </c>
    </row>
    <row r="89" spans="1:11" ht="25.5" customHeight="1">
      <c r="A89" s="8"/>
      <c r="B89" s="8"/>
      <c r="C89" s="75"/>
      <c r="D89" s="75"/>
      <c r="E89" s="190"/>
      <c r="F89" s="75"/>
      <c r="G89" s="190"/>
      <c r="H89" s="190"/>
      <c r="I89" s="72"/>
      <c r="J89" s="72"/>
      <c r="K89" s="76">
        <f t="shared" si="4"/>
        <v>0</v>
      </c>
    </row>
    <row r="90" spans="1:11" ht="25.5" customHeight="1">
      <c r="A90" s="8"/>
      <c r="B90" s="8"/>
      <c r="C90" s="152"/>
      <c r="D90" s="152"/>
      <c r="E90" s="190"/>
      <c r="F90" s="152"/>
      <c r="G90" s="190"/>
      <c r="H90" s="190"/>
      <c r="I90" s="72"/>
      <c r="J90" s="72"/>
      <c r="K90" s="76">
        <f t="shared" si="4"/>
        <v>0</v>
      </c>
    </row>
    <row r="91" spans="1:11" ht="25.5" customHeight="1">
      <c r="A91" s="8"/>
      <c r="B91" s="8"/>
      <c r="C91" s="152"/>
      <c r="D91" s="152"/>
      <c r="E91" s="190"/>
      <c r="F91" s="152"/>
      <c r="G91" s="190"/>
      <c r="H91" s="190"/>
      <c r="I91" s="72"/>
      <c r="J91" s="72"/>
      <c r="K91" s="76">
        <f t="shared" si="4"/>
        <v>0</v>
      </c>
    </row>
    <row r="92" spans="1:11" ht="25.5" customHeight="1">
      <c r="A92" s="8"/>
      <c r="B92" s="8"/>
      <c r="C92" s="152"/>
      <c r="D92" s="152"/>
      <c r="E92" s="190"/>
      <c r="F92" s="152"/>
      <c r="G92" s="190"/>
      <c r="H92" s="190"/>
      <c r="I92" s="72"/>
      <c r="J92" s="72"/>
      <c r="K92" s="76">
        <f t="shared" si="4"/>
        <v>0</v>
      </c>
    </row>
    <row r="93" spans="1:11" ht="25.5" customHeight="1">
      <c r="A93" s="8"/>
      <c r="B93" s="8"/>
      <c r="C93" s="72"/>
      <c r="D93" s="72"/>
      <c r="E93" s="190"/>
      <c r="F93" s="72"/>
      <c r="G93" s="190"/>
      <c r="H93" s="190"/>
      <c r="I93" s="72"/>
      <c r="J93" s="72"/>
      <c r="K93" s="76">
        <f t="shared" si="4"/>
        <v>0</v>
      </c>
    </row>
    <row r="94" spans="1:11" ht="25.5" customHeight="1">
      <c r="A94" s="8"/>
      <c r="B94" s="8"/>
      <c r="C94" s="72"/>
      <c r="D94" s="72"/>
      <c r="E94" s="190"/>
      <c r="F94" s="72"/>
      <c r="G94" s="190"/>
      <c r="H94" s="190"/>
      <c r="I94" s="72"/>
      <c r="J94" s="72"/>
      <c r="K94" s="76">
        <f t="shared" si="4"/>
        <v>0</v>
      </c>
    </row>
    <row r="103" spans="1:11">
      <c r="A103" s="1130" t="s">
        <v>590</v>
      </c>
      <c r="B103" s="760"/>
      <c r="C103" s="760"/>
      <c r="D103" s="760"/>
      <c r="E103" s="760"/>
      <c r="F103" s="760"/>
      <c r="G103" s="760"/>
      <c r="H103" s="760"/>
      <c r="I103" s="760"/>
      <c r="J103" s="760"/>
      <c r="K103" s="760"/>
    </row>
    <row r="105" spans="1:11">
      <c r="A105" s="1130" t="s">
        <v>561</v>
      </c>
      <c r="B105" s="1130"/>
      <c r="C105" s="1130" t="s">
        <v>591</v>
      </c>
      <c r="D105" s="760"/>
      <c r="E105" s="760"/>
      <c r="F105" s="760"/>
      <c r="G105" s="760"/>
      <c r="H105" s="760"/>
      <c r="I105" s="760"/>
      <c r="J105" s="760"/>
      <c r="K105" s="760"/>
    </row>
    <row r="106" spans="1:11">
      <c r="A106" s="1130" t="s">
        <v>563</v>
      </c>
      <c r="B106" s="1130"/>
      <c r="C106" s="1143">
        <v>25.137699999999999</v>
      </c>
      <c r="D106" s="760"/>
      <c r="E106" s="760"/>
      <c r="F106" s="760"/>
      <c r="G106" s="760"/>
      <c r="H106" s="760"/>
      <c r="I106" s="760"/>
      <c r="J106" s="760"/>
      <c r="K106" s="760"/>
    </row>
    <row r="107" spans="1:11">
      <c r="A107" s="957" t="s">
        <v>14</v>
      </c>
      <c r="B107" s="957" t="s">
        <v>564</v>
      </c>
      <c r="C107" s="143" t="s">
        <v>565</v>
      </c>
      <c r="D107" s="144" t="s">
        <v>566</v>
      </c>
      <c r="E107" s="145"/>
      <c r="F107" s="144" t="s">
        <v>567</v>
      </c>
      <c r="G107" s="145"/>
      <c r="H107" s="146" t="s">
        <v>568</v>
      </c>
      <c r="I107" s="143" t="s">
        <v>568</v>
      </c>
      <c r="J107" s="760"/>
      <c r="K107" s="760"/>
    </row>
    <row r="108" spans="1:11">
      <c r="A108" s="957"/>
      <c r="B108" s="957"/>
      <c r="C108" s="147" t="s">
        <v>509</v>
      </c>
      <c r="D108" s="148" t="s">
        <v>509</v>
      </c>
      <c r="E108" s="148" t="s">
        <v>569</v>
      </c>
      <c r="F108" s="148" t="s">
        <v>509</v>
      </c>
      <c r="G108" s="148" t="s">
        <v>569</v>
      </c>
      <c r="H108" s="149" t="s">
        <v>569</v>
      </c>
      <c r="I108" s="147" t="s">
        <v>570</v>
      </c>
      <c r="J108" s="760"/>
      <c r="K108" s="760"/>
    </row>
    <row r="109" spans="1:11">
      <c r="A109" s="8"/>
      <c r="B109" s="8"/>
      <c r="C109" s="150"/>
      <c r="D109" s="150"/>
      <c r="E109" s="142"/>
      <c r="F109" s="150"/>
      <c r="G109" s="142"/>
      <c r="H109" s="142"/>
      <c r="I109" s="72"/>
      <c r="J109" s="760"/>
      <c r="K109" s="76">
        <f>I109</f>
        <v>0</v>
      </c>
    </row>
    <row r="110" spans="1:11">
      <c r="A110" s="8"/>
      <c r="B110" s="8"/>
      <c r="C110" s="72"/>
      <c r="D110" s="72"/>
      <c r="E110" s="142"/>
      <c r="F110" s="72"/>
      <c r="G110" s="142"/>
      <c r="H110" s="142"/>
      <c r="I110" s="72"/>
      <c r="J110" s="760"/>
      <c r="K110" s="76">
        <f t="shared" ref="K110:K123" si="5">I110-I109</f>
        <v>0</v>
      </c>
    </row>
    <row r="111" spans="1:11">
      <c r="A111" s="8"/>
      <c r="B111" s="8"/>
      <c r="C111" s="152"/>
      <c r="D111" s="152"/>
      <c r="E111" s="142"/>
      <c r="F111" s="152"/>
      <c r="G111" s="142"/>
      <c r="H111" s="142"/>
      <c r="I111" s="72"/>
      <c r="J111" s="760"/>
      <c r="K111" s="76">
        <f t="shared" si="5"/>
        <v>0</v>
      </c>
    </row>
    <row r="112" spans="1:11">
      <c r="A112" s="8"/>
      <c r="B112" s="8"/>
      <c r="C112" s="72"/>
      <c r="D112" s="72"/>
      <c r="E112" s="142"/>
      <c r="F112" s="72"/>
      <c r="G112" s="142"/>
      <c r="H112" s="142"/>
      <c r="I112" s="72"/>
      <c r="J112" s="760"/>
      <c r="K112" s="76">
        <f t="shared" si="5"/>
        <v>0</v>
      </c>
    </row>
    <row r="113" spans="1:11">
      <c r="A113" s="8"/>
      <c r="B113" s="8"/>
      <c r="C113" s="126"/>
      <c r="D113" s="126"/>
      <c r="E113" s="142"/>
      <c r="F113" s="151"/>
      <c r="G113" s="142"/>
      <c r="H113" s="142"/>
      <c r="I113" s="72"/>
      <c r="J113" s="760"/>
      <c r="K113" s="76">
        <f t="shared" si="5"/>
        <v>0</v>
      </c>
    </row>
    <row r="114" spans="1:11">
      <c r="A114" s="8"/>
      <c r="B114" s="8"/>
      <c r="C114" s="150"/>
      <c r="D114" s="150"/>
      <c r="E114" s="142"/>
      <c r="F114" s="150"/>
      <c r="G114" s="142"/>
      <c r="H114" s="142"/>
      <c r="I114" s="72"/>
      <c r="J114" s="760"/>
      <c r="K114" s="76">
        <f t="shared" si="5"/>
        <v>0</v>
      </c>
    </row>
    <row r="115" spans="1:11">
      <c r="A115" s="8"/>
      <c r="B115" s="8"/>
      <c r="C115" s="72"/>
      <c r="D115" s="72"/>
      <c r="E115" s="142"/>
      <c r="F115" s="72"/>
      <c r="G115" s="142"/>
      <c r="H115" s="142"/>
      <c r="I115" s="72"/>
      <c r="J115" s="760"/>
      <c r="K115" s="76">
        <f t="shared" si="5"/>
        <v>0</v>
      </c>
    </row>
    <row r="116" spans="1:11">
      <c r="A116" s="8"/>
      <c r="B116" s="8"/>
      <c r="C116" s="72"/>
      <c r="D116" s="72"/>
      <c r="E116" s="142"/>
      <c r="F116" s="72"/>
      <c r="G116" s="142"/>
      <c r="H116" s="142"/>
      <c r="I116" s="72"/>
      <c r="J116" s="760"/>
      <c r="K116" s="76">
        <f t="shared" si="5"/>
        <v>0</v>
      </c>
    </row>
    <row r="117" spans="1:11">
      <c r="A117" s="8"/>
      <c r="B117" s="8"/>
      <c r="C117" s="72"/>
      <c r="D117" s="72"/>
      <c r="E117" s="142"/>
      <c r="F117" s="72"/>
      <c r="G117" s="142"/>
      <c r="H117" s="142"/>
      <c r="I117" s="72"/>
      <c r="J117" s="760"/>
      <c r="K117" s="76">
        <f t="shared" si="5"/>
        <v>0</v>
      </c>
    </row>
    <row r="118" spans="1:11">
      <c r="A118" s="8"/>
      <c r="B118" s="8"/>
      <c r="C118" s="150"/>
      <c r="D118" s="150"/>
      <c r="E118" s="142"/>
      <c r="F118" s="150"/>
      <c r="G118" s="142"/>
      <c r="H118" s="142"/>
      <c r="I118" s="72"/>
      <c r="J118" s="760"/>
      <c r="K118" s="76">
        <f t="shared" si="5"/>
        <v>0</v>
      </c>
    </row>
    <row r="119" spans="1:11">
      <c r="A119" s="8"/>
      <c r="B119" s="8"/>
      <c r="C119" s="150"/>
      <c r="D119" s="150"/>
      <c r="E119" s="142"/>
      <c r="F119" s="150"/>
      <c r="G119" s="142"/>
      <c r="H119" s="142"/>
      <c r="I119" s="72"/>
      <c r="J119" s="760"/>
      <c r="K119" s="76">
        <f t="shared" si="5"/>
        <v>0</v>
      </c>
    </row>
    <row r="120" spans="1:11">
      <c r="A120" s="8"/>
      <c r="B120" s="8"/>
      <c r="C120" s="72"/>
      <c r="D120" s="72"/>
      <c r="E120" s="142"/>
      <c r="F120" s="72"/>
      <c r="G120" s="142"/>
      <c r="H120" s="142"/>
      <c r="I120" s="72"/>
      <c r="J120" s="760"/>
      <c r="K120" s="76">
        <f t="shared" si="5"/>
        <v>0</v>
      </c>
    </row>
    <row r="121" spans="1:11">
      <c r="A121" s="8"/>
      <c r="B121" s="8"/>
      <c r="C121" s="72"/>
      <c r="D121" s="72"/>
      <c r="E121" s="142"/>
      <c r="F121" s="72"/>
      <c r="G121" s="142"/>
      <c r="H121" s="142"/>
      <c r="I121" s="72"/>
      <c r="J121" s="760"/>
      <c r="K121" s="76">
        <f t="shared" si="5"/>
        <v>0</v>
      </c>
    </row>
    <row r="122" spans="1:11">
      <c r="A122" s="8"/>
      <c r="B122" s="8"/>
      <c r="C122" s="72"/>
      <c r="D122" s="72"/>
      <c r="E122" s="142"/>
      <c r="F122" s="72"/>
      <c r="G122" s="142"/>
      <c r="H122" s="142"/>
      <c r="I122" s="72"/>
      <c r="J122" s="760"/>
      <c r="K122" s="76">
        <f t="shared" si="5"/>
        <v>0</v>
      </c>
    </row>
    <row r="123" spans="1:11">
      <c r="A123" s="8"/>
      <c r="B123" s="8"/>
      <c r="C123" s="126"/>
      <c r="D123" s="126"/>
      <c r="E123" s="142"/>
      <c r="F123" s="151"/>
      <c r="G123" s="142"/>
      <c r="H123" s="142"/>
      <c r="I123" s="72"/>
      <c r="J123" s="760"/>
      <c r="K123" s="76">
        <f t="shared" si="5"/>
        <v>0</v>
      </c>
    </row>
    <row r="126" spans="1:11">
      <c r="A126" s="1130" t="s">
        <v>561</v>
      </c>
      <c r="B126" s="1130" t="s">
        <v>587</v>
      </c>
      <c r="C126" s="1130"/>
      <c r="D126" s="760"/>
      <c r="E126" s="760"/>
      <c r="F126" s="760"/>
      <c r="G126" s="760"/>
      <c r="H126" s="760"/>
      <c r="I126" s="760"/>
      <c r="J126" s="760"/>
      <c r="K126" s="760"/>
    </row>
    <row r="127" spans="1:11">
      <c r="A127" s="1130" t="s">
        <v>563</v>
      </c>
      <c r="B127" s="1130">
        <v>165.1924255805026</v>
      </c>
      <c r="C127" s="1144"/>
      <c r="D127" s="760"/>
      <c r="E127" s="760"/>
      <c r="F127" s="760"/>
      <c r="G127" s="760"/>
      <c r="H127" s="760"/>
      <c r="I127" s="760"/>
      <c r="J127" s="760"/>
      <c r="K127" s="760"/>
    </row>
    <row r="128" spans="1:11">
      <c r="A128" s="958" t="s">
        <v>14</v>
      </c>
      <c r="B128" s="958" t="s">
        <v>564</v>
      </c>
      <c r="C128" s="153" t="s">
        <v>565</v>
      </c>
      <c r="D128" s="154" t="s">
        <v>566</v>
      </c>
      <c r="E128" s="155"/>
      <c r="F128" s="154" t="s">
        <v>567</v>
      </c>
      <c r="G128" s="155"/>
      <c r="H128" s="156" t="s">
        <v>568</v>
      </c>
      <c r="I128" s="153" t="s">
        <v>568</v>
      </c>
      <c r="J128" s="760"/>
      <c r="K128" s="760"/>
    </row>
    <row r="129" spans="1:11">
      <c r="A129" s="958"/>
      <c r="B129" s="958"/>
      <c r="C129" s="157" t="s">
        <v>509</v>
      </c>
      <c r="D129" s="158" t="s">
        <v>509</v>
      </c>
      <c r="E129" s="158" t="s">
        <v>569</v>
      </c>
      <c r="F129" s="158" t="s">
        <v>509</v>
      </c>
      <c r="G129" s="158" t="s">
        <v>569</v>
      </c>
      <c r="H129" s="159" t="s">
        <v>569</v>
      </c>
      <c r="I129" s="157" t="s">
        <v>570</v>
      </c>
      <c r="J129" s="760"/>
      <c r="K129" s="760"/>
    </row>
    <row r="130" spans="1:11">
      <c r="A130" s="8"/>
      <c r="B130" s="8"/>
      <c r="C130" s="150"/>
      <c r="D130" s="150"/>
      <c r="E130" s="72"/>
      <c r="F130" s="150"/>
      <c r="G130" s="72"/>
      <c r="H130" s="72"/>
      <c r="I130" s="72"/>
      <c r="J130" s="760"/>
      <c r="K130" s="76">
        <f>I130</f>
        <v>0</v>
      </c>
    </row>
    <row r="131" spans="1:11">
      <c r="A131" s="8"/>
      <c r="B131" s="8"/>
      <c r="C131" s="152"/>
      <c r="D131" s="152"/>
      <c r="E131" s="72"/>
      <c r="F131" s="152"/>
      <c r="G131" s="72"/>
      <c r="H131" s="72"/>
      <c r="I131" s="72"/>
      <c r="J131" s="760"/>
      <c r="K131" s="76">
        <f t="shared" ref="K131:K144" si="6">I131-I130</f>
        <v>0</v>
      </c>
    </row>
    <row r="132" spans="1:11">
      <c r="A132" s="8"/>
      <c r="B132" s="8"/>
      <c r="C132" s="72"/>
      <c r="D132" s="72"/>
      <c r="E132" s="72"/>
      <c r="F132" s="72"/>
      <c r="G132" s="72"/>
      <c r="H132" s="72"/>
      <c r="I132" s="72"/>
      <c r="J132" s="760"/>
      <c r="K132" s="76">
        <f t="shared" si="6"/>
        <v>0</v>
      </c>
    </row>
    <row r="133" spans="1:11">
      <c r="A133" s="8"/>
      <c r="B133" s="8"/>
      <c r="C133" s="72"/>
      <c r="D133" s="72"/>
      <c r="E133" s="72"/>
      <c r="F133" s="72"/>
      <c r="G133" s="72"/>
      <c r="H133" s="72"/>
      <c r="I133" s="72"/>
      <c r="J133" s="760"/>
      <c r="K133" s="76">
        <f t="shared" si="6"/>
        <v>0</v>
      </c>
    </row>
    <row r="134" spans="1:11">
      <c r="A134" s="8"/>
      <c r="B134" s="8"/>
      <c r="C134" s="126"/>
      <c r="D134" s="126"/>
      <c r="E134" s="72"/>
      <c r="F134" s="151"/>
      <c r="G134" s="72"/>
      <c r="H134" s="72"/>
      <c r="I134" s="72"/>
      <c r="J134" s="760"/>
      <c r="K134" s="76">
        <f t="shared" si="6"/>
        <v>0</v>
      </c>
    </row>
    <row r="135" spans="1:11">
      <c r="A135" s="8"/>
      <c r="B135" s="8"/>
      <c r="C135" s="150"/>
      <c r="D135" s="150"/>
      <c r="E135" s="72"/>
      <c r="F135" s="150"/>
      <c r="G135" s="72"/>
      <c r="H135" s="72"/>
      <c r="I135" s="72"/>
      <c r="J135" s="760"/>
      <c r="K135" s="76">
        <f t="shared" si="6"/>
        <v>0</v>
      </c>
    </row>
    <row r="136" spans="1:11">
      <c r="A136" s="8"/>
      <c r="B136" s="8"/>
      <c r="C136" s="72"/>
      <c r="D136" s="72"/>
      <c r="E136" s="72"/>
      <c r="F136" s="72"/>
      <c r="G136" s="72"/>
      <c r="H136" s="72"/>
      <c r="I136" s="72"/>
      <c r="J136" s="760"/>
      <c r="K136" s="76">
        <f t="shared" si="6"/>
        <v>0</v>
      </c>
    </row>
    <row r="137" spans="1:11">
      <c r="A137" s="8"/>
      <c r="B137" s="8"/>
      <c r="C137" s="152"/>
      <c r="D137" s="152"/>
      <c r="E137" s="72"/>
      <c r="F137" s="152"/>
      <c r="G137" s="72"/>
      <c r="H137" s="72"/>
      <c r="I137" s="72"/>
      <c r="J137" s="760"/>
      <c r="K137" s="76">
        <f t="shared" si="6"/>
        <v>0</v>
      </c>
    </row>
    <row r="138" spans="1:11">
      <c r="A138" s="8"/>
      <c r="B138" s="8"/>
      <c r="C138" s="72"/>
      <c r="D138" s="72"/>
      <c r="E138" s="72"/>
      <c r="F138" s="72"/>
      <c r="G138" s="72"/>
      <c r="H138" s="72"/>
      <c r="I138" s="72"/>
      <c r="J138" s="760"/>
      <c r="K138" s="76">
        <f t="shared" si="6"/>
        <v>0</v>
      </c>
    </row>
    <row r="139" spans="1:11">
      <c r="A139" s="8"/>
      <c r="B139" s="8"/>
      <c r="C139" s="150"/>
      <c r="D139" s="150"/>
      <c r="E139" s="72"/>
      <c r="F139" s="150"/>
      <c r="G139" s="72"/>
      <c r="H139" s="72"/>
      <c r="I139" s="72"/>
      <c r="J139" s="760"/>
      <c r="K139" s="76">
        <f t="shared" si="6"/>
        <v>0</v>
      </c>
    </row>
    <row r="140" spans="1:11">
      <c r="A140" s="8"/>
      <c r="B140" s="8"/>
      <c r="C140" s="126"/>
      <c r="D140" s="126"/>
      <c r="E140" s="72"/>
      <c r="F140" s="151"/>
      <c r="G140" s="72"/>
      <c r="H140" s="72"/>
      <c r="I140" s="72"/>
      <c r="J140" s="760"/>
      <c r="K140" s="76">
        <f t="shared" si="6"/>
        <v>0</v>
      </c>
    </row>
    <row r="141" spans="1:11">
      <c r="A141" s="8"/>
      <c r="B141" s="8"/>
      <c r="C141" s="150"/>
      <c r="D141" s="150"/>
      <c r="E141" s="72"/>
      <c r="F141" s="150"/>
      <c r="G141" s="72"/>
      <c r="H141" s="72"/>
      <c r="I141" s="72"/>
      <c r="J141" s="760"/>
      <c r="K141" s="76">
        <f t="shared" si="6"/>
        <v>0</v>
      </c>
    </row>
    <row r="142" spans="1:11">
      <c r="A142" s="8"/>
      <c r="B142" s="8"/>
      <c r="C142" s="72"/>
      <c r="D142" s="72"/>
      <c r="E142" s="72"/>
      <c r="F142" s="72"/>
      <c r="G142" s="72"/>
      <c r="H142" s="72"/>
      <c r="I142" s="72"/>
      <c r="J142" s="760"/>
      <c r="K142" s="76">
        <f t="shared" si="6"/>
        <v>0</v>
      </c>
    </row>
    <row r="143" spans="1:11">
      <c r="A143" s="8"/>
      <c r="B143" s="8"/>
      <c r="C143" s="72"/>
      <c r="D143" s="72"/>
      <c r="E143" s="72"/>
      <c r="F143" s="72"/>
      <c r="G143" s="72"/>
      <c r="H143" s="72"/>
      <c r="I143" s="72"/>
      <c r="J143" s="760"/>
      <c r="K143" s="76">
        <f t="shared" si="6"/>
        <v>0</v>
      </c>
    </row>
    <row r="144" spans="1:11">
      <c r="A144" s="8"/>
      <c r="B144" s="8"/>
      <c r="C144" s="72"/>
      <c r="D144" s="72"/>
      <c r="E144" s="72"/>
      <c r="F144" s="72"/>
      <c r="G144" s="72"/>
      <c r="H144" s="72"/>
      <c r="I144" s="72"/>
      <c r="J144" s="760"/>
      <c r="K144" s="76">
        <f t="shared" si="6"/>
        <v>0</v>
      </c>
    </row>
  </sheetData>
  <mergeCells count="12">
    <mergeCell ref="A128:A129"/>
    <mergeCell ref="B128:B129"/>
    <mergeCell ref="A54:A55"/>
    <mergeCell ref="B54:B55"/>
    <mergeCell ref="A78:A79"/>
    <mergeCell ref="B78:B79"/>
    <mergeCell ref="A5:A6"/>
    <mergeCell ref="B5:B6"/>
    <mergeCell ref="A27:A28"/>
    <mergeCell ref="B27:B28"/>
    <mergeCell ref="A107:A108"/>
    <mergeCell ref="B107:B108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33"/>
  <dimension ref="A2:F47"/>
  <sheetViews>
    <sheetView workbookViewId="0">
      <selection activeCell="A4" sqref="A4:D15"/>
    </sheetView>
  </sheetViews>
  <sheetFormatPr defaultColWidth="10.7109375" defaultRowHeight="13.15"/>
  <cols>
    <col min="1" max="1" width="7.7109375" style="9" customWidth="1"/>
    <col min="2" max="2" width="36.140625" customWidth="1"/>
    <col min="3" max="3" width="31.28515625" hidden="1" customWidth="1"/>
    <col min="4" max="4" width="18.140625" customWidth="1"/>
    <col min="5" max="5" width="33.7109375" customWidth="1"/>
    <col min="6" max="6" width="19.42578125" customWidth="1"/>
  </cols>
  <sheetData>
    <row r="2" spans="1:6">
      <c r="B2" s="1130" t="s">
        <v>560</v>
      </c>
      <c r="C2" s="1130"/>
      <c r="D2" s="760"/>
      <c r="E2" s="760"/>
      <c r="F2" s="760"/>
    </row>
    <row r="4" spans="1:6" ht="18.75" customHeight="1">
      <c r="A4" s="1145" t="s">
        <v>487</v>
      </c>
      <c r="B4" s="1145" t="s">
        <v>592</v>
      </c>
      <c r="C4" s="1146"/>
      <c r="D4" s="1145" t="s">
        <v>593</v>
      </c>
      <c r="E4" s="1147" t="s">
        <v>14</v>
      </c>
      <c r="F4" s="1147" t="str">
        <f>Sensibilidad!C25</f>
        <v>Promedio de costo SUNAT/Recaudación - 15 años</v>
      </c>
    </row>
    <row r="5" spans="1:6" ht="18.75" customHeight="1">
      <c r="A5" s="959"/>
      <c r="B5" s="959"/>
      <c r="C5" s="770"/>
      <c r="D5" s="959"/>
      <c r="E5" s="960"/>
      <c r="F5" s="960"/>
    </row>
    <row r="6" spans="1:6" ht="25.5" customHeight="1">
      <c r="A6" s="771">
        <v>1</v>
      </c>
      <c r="B6" s="8" t="str">
        <f>Sensibilidad!A7</f>
        <v>Variación de ajuste de eficiencia Recurso Humano (Óptimo)</v>
      </c>
      <c r="C6" s="8"/>
      <c r="D6" s="72">
        <f>Sensibilidad!J7</f>
        <v>0.27113407487678592</v>
      </c>
      <c r="E6" s="8">
        <f>Sensibilidad!A29</f>
        <v>0</v>
      </c>
      <c r="F6" s="151">
        <f>Sensibilidad!J29</f>
        <v>0</v>
      </c>
    </row>
    <row r="7" spans="1:6" ht="25.5" customHeight="1">
      <c r="A7" s="771">
        <v>2</v>
      </c>
      <c r="B7" s="8" t="str">
        <f>Sensibilidad!A8</f>
        <v>Recursos humanos SUNAT por PEA inicial</v>
      </c>
      <c r="C7" s="8"/>
      <c r="D7" s="72">
        <f>Sensibilidad!J8</f>
        <v>0.1995559809524004</v>
      </c>
      <c r="E7" s="8">
        <f>Sensibilidad!A30</f>
        <v>0</v>
      </c>
      <c r="F7" s="151">
        <f>Sensibilidad!J30</f>
        <v>0</v>
      </c>
    </row>
    <row r="8" spans="1:6" ht="25.5" customHeight="1">
      <c r="A8" s="771">
        <v>3</v>
      </c>
      <c r="B8" s="8" t="str">
        <f>Sensibilidad!A9</f>
        <v>Recursos humanos SUNAT por PEA míniimo</v>
      </c>
      <c r="C8" s="8"/>
      <c r="D8" s="72">
        <f>Sensibilidad!J9</f>
        <v>0.19424278130973416</v>
      </c>
      <c r="E8" s="8">
        <f>Sensibilidad!A31</f>
        <v>0</v>
      </c>
      <c r="F8" s="151">
        <f>Sensibilidad!J31</f>
        <v>0</v>
      </c>
    </row>
    <row r="9" spans="1:6" ht="25.5" customHeight="1">
      <c r="A9" s="771">
        <v>4</v>
      </c>
      <c r="B9" s="8" t="str">
        <f>Sensibilidad!A10</f>
        <v>Proporción de PEA inicial</v>
      </c>
      <c r="C9" s="8"/>
      <c r="D9" s="72">
        <f>Sensibilidad!J10</f>
        <v>0.1391042890206986</v>
      </c>
      <c r="E9" s="8">
        <f>Sensibilidad!A32</f>
        <v>0</v>
      </c>
      <c r="F9" s="151">
        <f>Sensibilidad!J32</f>
        <v>0</v>
      </c>
    </row>
    <row r="10" spans="1:6" ht="25.5" customHeight="1">
      <c r="A10" s="771">
        <v>5</v>
      </c>
      <c r="B10" s="8" t="str">
        <f>Sensibilidad!A11</f>
        <v>Recaudación ideal / PBI</v>
      </c>
      <c r="C10" s="8"/>
      <c r="D10" s="72">
        <f>Sensibilidad!J11</f>
        <v>6.6603309874835537E-2</v>
      </c>
      <c r="E10" s="8">
        <f>Sensibilidad!A33</f>
        <v>0</v>
      </c>
      <c r="F10" s="151">
        <f>Sensibilidad!J33</f>
        <v>0</v>
      </c>
    </row>
    <row r="11" spans="1:6" ht="25.5" customHeight="1">
      <c r="A11" s="771">
        <v>6</v>
      </c>
      <c r="B11" s="8" t="str">
        <f>Sensibilidad!A12</f>
        <v>PEA Máxima</v>
      </c>
      <c r="C11" s="8"/>
      <c r="D11" s="72">
        <f>Sensibilidad!J12</f>
        <v>5.7432541900321654E-2</v>
      </c>
      <c r="E11" s="8">
        <f>Sensibilidad!A34</f>
        <v>0</v>
      </c>
      <c r="F11" s="151">
        <f>Sensibilidad!J34</f>
        <v>0</v>
      </c>
    </row>
    <row r="12" spans="1:6" ht="25.5" customHeight="1">
      <c r="A12" s="771">
        <v>7</v>
      </c>
      <c r="B12" s="8" t="str">
        <f>Sensibilidad!A13</f>
        <v>Proporción de inversión efectiva</v>
      </c>
      <c r="C12" s="8"/>
      <c r="D12" s="72">
        <f>Sensibilidad!J13</f>
        <v>2.613140366904243E-2</v>
      </c>
      <c r="E12" s="8">
        <f>Sensibilidad!A35</f>
        <v>0</v>
      </c>
      <c r="F12" s="151">
        <f>Sensibilidad!J35</f>
        <v>0</v>
      </c>
    </row>
    <row r="13" spans="1:6" ht="25.5" customHeight="1">
      <c r="A13" s="771">
        <v>8</v>
      </c>
      <c r="B13" s="8" t="str">
        <f>Sensibilidad!A14</f>
        <v>Tasa de retorno de la inversión pública</v>
      </c>
      <c r="C13" s="8"/>
      <c r="D13" s="72">
        <f>Sensibilidad!J14</f>
        <v>1.6724098348187111E-2</v>
      </c>
      <c r="E13" s="8">
        <f>Sensibilidad!A36</f>
        <v>0</v>
      </c>
      <c r="F13" s="151">
        <f>Sensibilidad!J36</f>
        <v>0</v>
      </c>
    </row>
    <row r="14" spans="1:6" ht="25.5" customHeight="1">
      <c r="A14" s="771">
        <v>9</v>
      </c>
      <c r="B14" s="8" t="str">
        <f>Sensibilidad!A15</f>
        <v>Inversión 3</v>
      </c>
      <c r="C14" s="8"/>
      <c r="D14" s="72">
        <f>Sensibilidad!J15</f>
        <v>1.2897417824113244E-2</v>
      </c>
      <c r="E14" s="8">
        <f>Sensibilidad!A37</f>
        <v>0</v>
      </c>
      <c r="F14" s="151">
        <f>Sensibilidad!J37</f>
        <v>0</v>
      </c>
    </row>
    <row r="15" spans="1:6" ht="25.5" customHeight="1">
      <c r="A15" s="771">
        <v>10</v>
      </c>
      <c r="B15" s="8" t="str">
        <f>Sensibilidad!A16</f>
        <v>PBI pc variación</v>
      </c>
      <c r="C15" s="8"/>
      <c r="D15" s="72">
        <f>Sensibilidad!J16</f>
        <v>9.680333743558589E-3</v>
      </c>
      <c r="E15" s="8">
        <f>Sensibilidad!A38</f>
        <v>0</v>
      </c>
      <c r="F15" s="151">
        <f>Sensibilidad!J38</f>
        <v>0</v>
      </c>
    </row>
    <row r="18" spans="1:6">
      <c r="B18" s="1130" t="s">
        <v>589</v>
      </c>
      <c r="C18" s="1130"/>
      <c r="D18" s="760"/>
      <c r="E18" s="760"/>
      <c r="F18" s="760"/>
    </row>
    <row r="20" spans="1:6" ht="18.75" customHeight="1">
      <c r="A20" s="1145" t="s">
        <v>487</v>
      </c>
      <c r="B20" s="1145" t="s">
        <v>592</v>
      </c>
      <c r="C20" s="1148"/>
      <c r="D20" s="1145" t="str">
        <f>D4</f>
        <v>VA Beneficios netos</v>
      </c>
      <c r="E20" s="1147" t="s">
        <v>14</v>
      </c>
      <c r="F20" s="1147" t="str">
        <f>F4</f>
        <v>Promedio de costo SUNAT/Recaudación - 15 años</v>
      </c>
    </row>
    <row r="21" spans="1:6" ht="18.75" customHeight="1">
      <c r="A21" s="959"/>
      <c r="B21" s="959"/>
      <c r="C21" s="769"/>
      <c r="D21" s="959"/>
      <c r="E21" s="960"/>
      <c r="F21" s="960"/>
    </row>
    <row r="22" spans="1:6" ht="25.5" customHeight="1">
      <c r="A22" s="771">
        <v>1</v>
      </c>
      <c r="B22" s="8">
        <f>Sensibilidad!A56</f>
        <v>0</v>
      </c>
      <c r="C22" s="8"/>
      <c r="D22" s="72">
        <f>Sensibilidad!J56</f>
        <v>0</v>
      </c>
      <c r="E22" s="8">
        <f>Sensibilidad!A80</f>
        <v>0</v>
      </c>
      <c r="F22" s="151">
        <f>Sensibilidad!J80</f>
        <v>0</v>
      </c>
    </row>
    <row r="23" spans="1:6" ht="25.5" customHeight="1">
      <c r="A23" s="771">
        <v>2</v>
      </c>
      <c r="B23" s="8">
        <f>Sensibilidad!A57</f>
        <v>0</v>
      </c>
      <c r="C23" s="8"/>
      <c r="D23" s="72">
        <f>Sensibilidad!J57</f>
        <v>0</v>
      </c>
      <c r="E23" s="8">
        <f>Sensibilidad!A81</f>
        <v>0</v>
      </c>
      <c r="F23" s="151">
        <f>Sensibilidad!J81</f>
        <v>0</v>
      </c>
    </row>
    <row r="24" spans="1:6" ht="25.5" customHeight="1">
      <c r="A24" s="771">
        <v>3</v>
      </c>
      <c r="B24" s="8">
        <f>Sensibilidad!A58</f>
        <v>0</v>
      </c>
      <c r="C24" s="8"/>
      <c r="D24" s="72">
        <f>Sensibilidad!J58</f>
        <v>0</v>
      </c>
      <c r="E24" s="8">
        <f>Sensibilidad!A82</f>
        <v>0</v>
      </c>
      <c r="F24" s="151">
        <f>Sensibilidad!J82</f>
        <v>0</v>
      </c>
    </row>
    <row r="25" spans="1:6" ht="25.5" customHeight="1">
      <c r="A25" s="771">
        <v>4</v>
      </c>
      <c r="B25" s="8">
        <f>Sensibilidad!A59</f>
        <v>0</v>
      </c>
      <c r="C25" s="8"/>
      <c r="D25" s="72">
        <f>Sensibilidad!J59</f>
        <v>0</v>
      </c>
      <c r="E25" s="8">
        <f>Sensibilidad!A83</f>
        <v>0</v>
      </c>
      <c r="F25" s="151">
        <f>Sensibilidad!J83</f>
        <v>0</v>
      </c>
    </row>
    <row r="26" spans="1:6" ht="25.5" customHeight="1">
      <c r="A26" s="771">
        <v>5</v>
      </c>
      <c r="B26" s="8">
        <f>Sensibilidad!A60</f>
        <v>0</v>
      </c>
      <c r="C26" s="8"/>
      <c r="D26" s="72">
        <f>Sensibilidad!J60</f>
        <v>0</v>
      </c>
      <c r="E26" s="8">
        <f>Sensibilidad!A84</f>
        <v>0</v>
      </c>
      <c r="F26" s="151">
        <f>Sensibilidad!J84</f>
        <v>0</v>
      </c>
    </row>
    <row r="27" spans="1:6" ht="25.5" customHeight="1">
      <c r="A27" s="771">
        <v>6</v>
      </c>
      <c r="B27" s="8">
        <f>Sensibilidad!A61</f>
        <v>0</v>
      </c>
      <c r="C27" s="8"/>
      <c r="D27" s="72">
        <f>Sensibilidad!J61</f>
        <v>0</v>
      </c>
      <c r="E27" s="8">
        <f>Sensibilidad!A85</f>
        <v>0</v>
      </c>
      <c r="F27" s="151">
        <f>Sensibilidad!J85</f>
        <v>0</v>
      </c>
    </row>
    <row r="28" spans="1:6" ht="25.5" customHeight="1">
      <c r="A28" s="771">
        <v>7</v>
      </c>
      <c r="B28" s="8">
        <f>Sensibilidad!A62</f>
        <v>0</v>
      </c>
      <c r="C28" s="8"/>
      <c r="D28" s="72">
        <f>Sensibilidad!J62</f>
        <v>0</v>
      </c>
      <c r="E28" s="8">
        <f>Sensibilidad!A86</f>
        <v>0</v>
      </c>
      <c r="F28" s="151">
        <f>Sensibilidad!J86</f>
        <v>0</v>
      </c>
    </row>
    <row r="29" spans="1:6" ht="25.5" customHeight="1">
      <c r="A29" s="771">
        <v>8</v>
      </c>
      <c r="B29" s="8">
        <f>Sensibilidad!A63</f>
        <v>0</v>
      </c>
      <c r="C29" s="8"/>
      <c r="D29" s="72">
        <f>Sensibilidad!J63</f>
        <v>0</v>
      </c>
      <c r="E29" s="8">
        <f>Sensibilidad!A87</f>
        <v>0</v>
      </c>
      <c r="F29" s="151">
        <f>Sensibilidad!J87</f>
        <v>0</v>
      </c>
    </row>
    <row r="30" spans="1:6" ht="25.5" customHeight="1">
      <c r="A30" s="771">
        <v>9</v>
      </c>
      <c r="B30" s="8">
        <f>Sensibilidad!A64</f>
        <v>0</v>
      </c>
      <c r="C30" s="8"/>
      <c r="D30" s="72">
        <f>Sensibilidad!J64</f>
        <v>0</v>
      </c>
      <c r="E30" s="8">
        <f>Sensibilidad!A88</f>
        <v>0</v>
      </c>
      <c r="F30" s="151">
        <f>Sensibilidad!J88</f>
        <v>0</v>
      </c>
    </row>
    <row r="31" spans="1:6" ht="25.5" customHeight="1">
      <c r="A31" s="771">
        <v>10</v>
      </c>
      <c r="B31" s="8">
        <f>Sensibilidad!A65</f>
        <v>0</v>
      </c>
      <c r="C31" s="8"/>
      <c r="D31" s="72">
        <f>Sensibilidad!J65</f>
        <v>0</v>
      </c>
      <c r="E31" s="8">
        <f>Sensibilidad!A89</f>
        <v>0</v>
      </c>
      <c r="F31" s="151">
        <f>Sensibilidad!J89</f>
        <v>0</v>
      </c>
    </row>
    <row r="34" spans="1:6">
      <c r="B34" s="1130" t="s">
        <v>590</v>
      </c>
      <c r="C34" s="1130"/>
      <c r="D34" s="760"/>
      <c r="E34" s="760"/>
      <c r="F34" s="760"/>
    </row>
    <row r="36" spans="1:6" ht="18.75" customHeight="1">
      <c r="A36" s="1149" t="s">
        <v>487</v>
      </c>
      <c r="B36" s="1149" t="s">
        <v>592</v>
      </c>
      <c r="C36" s="1146"/>
      <c r="D36" s="1145" t="str">
        <f>D20</f>
        <v>VA Beneficios netos</v>
      </c>
      <c r="E36" s="1149" t="s">
        <v>14</v>
      </c>
      <c r="F36" s="1147" t="str">
        <f>F20</f>
        <v>Promedio de costo SUNAT/Recaudación - 15 años</v>
      </c>
    </row>
    <row r="37" spans="1:6" ht="18.75" customHeight="1">
      <c r="A37" s="961"/>
      <c r="B37" s="961"/>
      <c r="C37" s="770"/>
      <c r="D37" s="959"/>
      <c r="E37" s="961"/>
      <c r="F37" s="960"/>
    </row>
    <row r="38" spans="1:6" ht="27" customHeight="1">
      <c r="A38" s="771">
        <v>1</v>
      </c>
      <c r="B38" s="8"/>
      <c r="C38" s="8"/>
      <c r="D38" s="160"/>
      <c r="E38" s="8"/>
      <c r="F38" s="162"/>
    </row>
    <row r="39" spans="1:6" ht="27" customHeight="1">
      <c r="A39" s="771">
        <v>2</v>
      </c>
      <c r="B39" s="8"/>
      <c r="C39" s="8"/>
      <c r="D39" s="160"/>
      <c r="E39" s="8"/>
      <c r="F39" s="162"/>
    </row>
    <row r="40" spans="1:6" ht="27" customHeight="1">
      <c r="A40" s="771">
        <v>3</v>
      </c>
      <c r="B40" s="8"/>
      <c r="C40" s="8"/>
      <c r="D40" s="160"/>
      <c r="E40" s="8"/>
      <c r="F40" s="162"/>
    </row>
    <row r="41" spans="1:6" ht="27" customHeight="1">
      <c r="A41" s="771">
        <v>4</v>
      </c>
      <c r="B41" s="8"/>
      <c r="C41" s="8"/>
      <c r="D41" s="160"/>
      <c r="E41" s="8"/>
      <c r="F41" s="162"/>
    </row>
    <row r="42" spans="1:6" ht="27" customHeight="1">
      <c r="A42" s="771">
        <v>5</v>
      </c>
      <c r="B42" s="8"/>
      <c r="C42" s="8"/>
      <c r="D42" s="160"/>
      <c r="E42" s="8"/>
      <c r="F42" s="162"/>
    </row>
    <row r="43" spans="1:6" ht="27" customHeight="1">
      <c r="A43" s="771">
        <v>6</v>
      </c>
      <c r="B43" s="8"/>
      <c r="C43" s="8"/>
      <c r="D43" s="160"/>
      <c r="E43" s="8"/>
      <c r="F43" s="162"/>
    </row>
    <row r="44" spans="1:6" ht="27" customHeight="1">
      <c r="A44" s="771">
        <v>7</v>
      </c>
      <c r="B44" s="8"/>
      <c r="C44" s="8"/>
      <c r="D44" s="160"/>
      <c r="E44" s="8"/>
      <c r="F44" s="162"/>
    </row>
    <row r="45" spans="1:6" ht="27" customHeight="1">
      <c r="A45" s="771">
        <v>8</v>
      </c>
      <c r="B45" s="8"/>
      <c r="C45" s="8"/>
      <c r="D45" s="160"/>
      <c r="E45" s="161"/>
      <c r="F45" s="162"/>
    </row>
    <row r="46" spans="1:6" ht="27" customHeight="1">
      <c r="A46" s="771">
        <v>9</v>
      </c>
      <c r="B46" s="8"/>
      <c r="C46" s="8"/>
      <c r="D46" s="160"/>
      <c r="E46" s="8"/>
      <c r="F46" s="160"/>
    </row>
    <row r="47" spans="1:6" ht="27" customHeight="1">
      <c r="A47" s="771">
        <v>10</v>
      </c>
      <c r="B47" s="8"/>
      <c r="C47" s="8"/>
      <c r="D47" s="160"/>
      <c r="E47" s="8"/>
      <c r="F47" s="160"/>
    </row>
  </sheetData>
  <mergeCells count="15">
    <mergeCell ref="A4:A5"/>
    <mergeCell ref="B4:B5"/>
    <mergeCell ref="D4:D5"/>
    <mergeCell ref="E4:E5"/>
    <mergeCell ref="F4:F5"/>
    <mergeCell ref="A20:A21"/>
    <mergeCell ref="B20:B21"/>
    <mergeCell ref="D20:D21"/>
    <mergeCell ref="E20:E21"/>
    <mergeCell ref="F36:F37"/>
    <mergeCell ref="A36:A37"/>
    <mergeCell ref="B36:B37"/>
    <mergeCell ref="D36:D37"/>
    <mergeCell ref="E36:E37"/>
    <mergeCell ref="F20:F21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34"/>
  <dimension ref="A1:J28"/>
  <sheetViews>
    <sheetView workbookViewId="0">
      <selection activeCell="C3" sqref="C3:J5"/>
    </sheetView>
  </sheetViews>
  <sheetFormatPr defaultColWidth="10.7109375" defaultRowHeight="13.15"/>
  <cols>
    <col min="1" max="1" width="2.85546875" customWidth="1"/>
    <col min="2" max="2" width="8" customWidth="1"/>
    <col min="3" max="3" width="29.140625" customWidth="1"/>
    <col min="4" max="5" width="11.42578125" customWidth="1"/>
    <col min="6" max="10" width="12.42578125" customWidth="1"/>
  </cols>
  <sheetData>
    <row r="1" spans="1:10">
      <c r="A1" s="23"/>
      <c r="B1" s="1067" t="s">
        <v>594</v>
      </c>
      <c r="C1" s="23"/>
      <c r="D1" s="23"/>
      <c r="E1" s="23"/>
      <c r="F1" s="23"/>
      <c r="G1" s="23"/>
      <c r="H1" s="23"/>
      <c r="I1" s="23"/>
      <c r="J1" s="23"/>
    </row>
    <row r="2" spans="1:10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ht="15.6">
      <c r="A3" s="760"/>
      <c r="B3" s="1137" t="s">
        <v>595</v>
      </c>
      <c r="C3" s="135" t="s">
        <v>14</v>
      </c>
      <c r="D3" s="135" t="s">
        <v>596</v>
      </c>
      <c r="E3" s="135" t="s">
        <v>597</v>
      </c>
      <c r="F3" s="136" t="s">
        <v>598</v>
      </c>
      <c r="G3" s="137"/>
      <c r="H3" s="1150"/>
      <c r="I3" s="137"/>
      <c r="J3" s="138"/>
    </row>
    <row r="4" spans="1:10">
      <c r="A4" s="760"/>
      <c r="B4" s="1139"/>
      <c r="C4" s="139" t="s">
        <v>599</v>
      </c>
      <c r="D4" s="139" t="s">
        <v>600</v>
      </c>
      <c r="E4" s="139" t="s">
        <v>601</v>
      </c>
      <c r="F4" s="140" t="s">
        <v>602</v>
      </c>
      <c r="G4" s="141">
        <v>0.1</v>
      </c>
      <c r="H4" s="141">
        <v>0.5</v>
      </c>
      <c r="I4" s="141">
        <v>0.9</v>
      </c>
      <c r="J4" s="140" t="s">
        <v>603</v>
      </c>
    </row>
    <row r="5" spans="1:10" ht="31.5" customHeight="1">
      <c r="A5" s="760"/>
      <c r="B5" s="963">
        <v>1</v>
      </c>
      <c r="C5" s="8" t="s">
        <v>562</v>
      </c>
      <c r="D5" s="142">
        <v>1544.2952535427858</v>
      </c>
      <c r="E5" s="142">
        <v>1331.1788075720458</v>
      </c>
      <c r="F5" s="142">
        <v>170.96675486226417</v>
      </c>
      <c r="G5" s="142">
        <v>920.74593305210487</v>
      </c>
      <c r="H5" s="142">
        <v>1313.5754090277046</v>
      </c>
      <c r="I5" s="142">
        <v>1813.6518855717791</v>
      </c>
      <c r="J5" s="142">
        <v>2664.5419016193773</v>
      </c>
    </row>
    <row r="6" spans="1:10" ht="31.5" hidden="1" customHeight="1">
      <c r="A6" s="760"/>
      <c r="B6" s="964"/>
      <c r="C6" s="8" t="s">
        <v>588</v>
      </c>
      <c r="D6" s="191">
        <v>8.6357318351045643E-3</v>
      </c>
      <c r="E6" s="191">
        <v>8.5038644372954931E-3</v>
      </c>
      <c r="F6" s="191">
        <v>5.9039369045011947E-3</v>
      </c>
      <c r="G6" s="191">
        <v>6.6663788975550959E-3</v>
      </c>
      <c r="H6" s="191">
        <v>8.6463862860899875E-3</v>
      </c>
      <c r="I6" s="191">
        <v>9.9228290368189066E-3</v>
      </c>
      <c r="J6" s="191">
        <v>1.1439169921727358E-2</v>
      </c>
    </row>
    <row r="7" spans="1:10" ht="31.5" customHeight="1">
      <c r="A7" s="760"/>
      <c r="B7" s="963"/>
      <c r="C7" s="8"/>
      <c r="D7" s="142"/>
      <c r="E7" s="142"/>
      <c r="F7" s="142"/>
      <c r="G7" s="142"/>
      <c r="H7" s="142"/>
      <c r="I7" s="142"/>
      <c r="J7" s="142"/>
    </row>
    <row r="8" spans="1:10" ht="31.5" hidden="1" customHeight="1">
      <c r="A8" s="760"/>
      <c r="B8" s="964"/>
      <c r="C8" s="8"/>
      <c r="D8" s="191"/>
      <c r="E8" s="191"/>
      <c r="F8" s="191"/>
      <c r="G8" s="191"/>
      <c r="H8" s="191"/>
      <c r="I8" s="191"/>
      <c r="J8" s="191"/>
    </row>
    <row r="9" spans="1:10" ht="27.75" hidden="1" customHeight="1">
      <c r="A9" s="760"/>
      <c r="B9" s="963">
        <v>3</v>
      </c>
      <c r="C9" s="8"/>
      <c r="D9" s="142"/>
      <c r="E9" s="142"/>
      <c r="F9" s="142"/>
      <c r="G9" s="142"/>
      <c r="H9" s="142"/>
      <c r="I9" s="142"/>
      <c r="J9" s="142"/>
    </row>
    <row r="10" spans="1:10" ht="27.75" hidden="1" customHeight="1">
      <c r="A10" s="760"/>
      <c r="B10" s="964"/>
      <c r="C10" s="8"/>
      <c r="D10" s="72"/>
      <c r="E10" s="72"/>
      <c r="F10" s="72"/>
      <c r="G10" s="72"/>
      <c r="H10" s="72"/>
      <c r="I10" s="72"/>
      <c r="J10" s="72"/>
    </row>
    <row r="11" spans="1:10">
      <c r="A11" s="760"/>
      <c r="B11" s="169"/>
      <c r="C11" s="169"/>
      <c r="D11" s="169"/>
      <c r="E11" s="169"/>
      <c r="F11" s="169"/>
      <c r="G11" s="169"/>
      <c r="H11" s="169"/>
      <c r="I11" s="169"/>
      <c r="J11" s="169"/>
    </row>
    <row r="13" spans="1:10" ht="15.6">
      <c r="A13" s="760"/>
      <c r="B13" s="1151" t="s">
        <v>595</v>
      </c>
      <c r="C13" s="170" t="s">
        <v>14</v>
      </c>
      <c r="D13" s="170" t="s">
        <v>596</v>
      </c>
      <c r="E13" s="170" t="s">
        <v>597</v>
      </c>
      <c r="F13" s="171" t="s">
        <v>598</v>
      </c>
      <c r="G13" s="172"/>
      <c r="H13" s="1152"/>
      <c r="I13" s="172"/>
      <c r="J13" s="173"/>
    </row>
    <row r="14" spans="1:10">
      <c r="A14" s="760"/>
      <c r="B14" s="1139"/>
      <c r="C14" s="139" t="s">
        <v>599</v>
      </c>
      <c r="D14" s="139" t="s">
        <v>600</v>
      </c>
      <c r="E14" s="139" t="s">
        <v>601</v>
      </c>
      <c r="F14" s="140" t="s">
        <v>602</v>
      </c>
      <c r="G14" s="141">
        <v>0.1</v>
      </c>
      <c r="H14" s="141">
        <v>0.5</v>
      </c>
      <c r="I14" s="141">
        <v>0.9</v>
      </c>
      <c r="J14" s="140" t="s">
        <v>603</v>
      </c>
    </row>
    <row r="15" spans="1:10" ht="27.75" customHeight="1">
      <c r="A15" s="760"/>
      <c r="B15" s="3">
        <v>1</v>
      </c>
      <c r="C15" s="962"/>
      <c r="D15" s="71"/>
      <c r="E15" s="71"/>
      <c r="F15" s="71"/>
      <c r="G15" s="71"/>
      <c r="H15" s="71"/>
      <c r="I15" s="71"/>
      <c r="J15" s="71"/>
    </row>
    <row r="16" spans="1:10" ht="27.75" customHeight="1">
      <c r="A16" s="760"/>
      <c r="B16" s="3">
        <v>2</v>
      </c>
      <c r="C16" s="962"/>
      <c r="D16" s="71"/>
      <c r="E16" s="71"/>
      <c r="F16" s="71"/>
      <c r="G16" s="71"/>
      <c r="H16" s="71"/>
      <c r="I16" s="71"/>
      <c r="J16" s="71"/>
    </row>
    <row r="17" spans="2:10" ht="27.75" customHeight="1">
      <c r="B17" s="3">
        <v>3</v>
      </c>
      <c r="C17" s="962"/>
      <c r="D17" s="71"/>
      <c r="E17" s="71"/>
      <c r="F17" s="71"/>
      <c r="G17" s="71"/>
      <c r="H17" s="71"/>
      <c r="I17" s="71"/>
      <c r="J17" s="71"/>
    </row>
    <row r="19" spans="2:10">
      <c r="B19" s="760" t="s">
        <v>589</v>
      </c>
      <c r="C19" s="760"/>
      <c r="D19" s="760"/>
      <c r="E19" s="760"/>
      <c r="F19" s="760"/>
      <c r="G19" s="760"/>
      <c r="H19" s="760"/>
      <c r="I19" s="760"/>
      <c r="J19" s="760"/>
    </row>
    <row r="21" spans="2:10" ht="15.6">
      <c r="B21" s="1136" t="s">
        <v>595</v>
      </c>
      <c r="C21" s="135" t="s">
        <v>14</v>
      </c>
      <c r="D21" s="135" t="s">
        <v>596</v>
      </c>
      <c r="E21" s="135" t="s">
        <v>597</v>
      </c>
      <c r="F21" s="193" t="s">
        <v>598</v>
      </c>
      <c r="G21" s="193"/>
      <c r="H21" s="1153"/>
      <c r="I21" s="193"/>
      <c r="J21" s="193"/>
    </row>
    <row r="22" spans="2:10">
      <c r="B22" s="1136"/>
      <c r="C22" s="139" t="s">
        <v>599</v>
      </c>
      <c r="D22" s="139" t="s">
        <v>600</v>
      </c>
      <c r="E22" s="139" t="s">
        <v>601</v>
      </c>
      <c r="F22" s="140" t="s">
        <v>602</v>
      </c>
      <c r="G22" s="141">
        <v>0.1</v>
      </c>
      <c r="H22" s="141">
        <v>0.5</v>
      </c>
      <c r="I22" s="141">
        <v>0.9</v>
      </c>
      <c r="J22" s="140" t="s">
        <v>603</v>
      </c>
    </row>
    <row r="23" spans="2:10" ht="39" customHeight="1">
      <c r="B23" s="771">
        <v>2</v>
      </c>
      <c r="C23" s="8" t="s">
        <v>604</v>
      </c>
      <c r="D23" s="72">
        <v>0.14021579739822154</v>
      </c>
      <c r="E23" s="72">
        <v>0.14169942760156579</v>
      </c>
      <c r="F23" s="72">
        <v>3.2742772072999318E-2</v>
      </c>
      <c r="G23" s="72">
        <v>3.2742772072999318E-2</v>
      </c>
      <c r="H23" s="72">
        <v>0.14021579739822154</v>
      </c>
      <c r="I23" s="72">
        <v>0.21210427510762767</v>
      </c>
      <c r="J23" s="72">
        <v>0.27943352624121048</v>
      </c>
    </row>
    <row r="24" spans="2:10" ht="39" customHeight="1">
      <c r="B24" s="771">
        <v>2</v>
      </c>
      <c r="C24" s="8" t="s">
        <v>605</v>
      </c>
      <c r="D24" s="72">
        <v>0.17642771837388493</v>
      </c>
      <c r="E24" s="72">
        <v>0.17299346154013642</v>
      </c>
      <c r="F24" s="72">
        <v>0.1560746982161538</v>
      </c>
      <c r="G24" s="72">
        <v>0.1658272880928289</v>
      </c>
      <c r="H24" s="72">
        <v>0.17642771837388493</v>
      </c>
      <c r="I24" s="72">
        <v>0.17642771837388493</v>
      </c>
      <c r="J24" s="72">
        <v>0.17642771837388493</v>
      </c>
    </row>
    <row r="25" spans="2:10" ht="39" customHeight="1">
      <c r="B25" s="771">
        <v>2</v>
      </c>
      <c r="C25" s="8" t="s">
        <v>606</v>
      </c>
      <c r="D25" s="194">
        <v>0.48684210526315791</v>
      </c>
      <c r="E25" s="194">
        <v>0.49875179914970158</v>
      </c>
      <c r="F25" s="194">
        <v>0.47</v>
      </c>
      <c r="G25" s="194">
        <v>0.47</v>
      </c>
      <c r="H25" s="194">
        <v>0.48684210526315802</v>
      </c>
      <c r="I25" s="194">
        <v>0.55000000000000004</v>
      </c>
      <c r="J25" s="194">
        <v>0.55000000000000004</v>
      </c>
    </row>
    <row r="26" spans="2:10" ht="39" customHeight="1">
      <c r="B26" s="771">
        <v>2</v>
      </c>
      <c r="C26" s="8" t="s">
        <v>607</v>
      </c>
      <c r="D26" s="72">
        <v>0.77380578234160058</v>
      </c>
      <c r="E26" s="72">
        <v>0.75874325236901907</v>
      </c>
      <c r="F26" s="72">
        <v>0.68453815007084995</v>
      </c>
      <c r="G26" s="72">
        <v>0.72731266707381093</v>
      </c>
      <c r="H26" s="72">
        <v>0.77380578234160058</v>
      </c>
      <c r="I26" s="72">
        <v>0.77380578234160058</v>
      </c>
      <c r="J26" s="72">
        <v>0.77380578234160058</v>
      </c>
    </row>
    <row r="27" spans="2:10" ht="39" customHeight="1">
      <c r="B27" s="771">
        <v>2</v>
      </c>
      <c r="C27" s="8" t="s">
        <v>608</v>
      </c>
      <c r="D27" s="75">
        <v>384.26744323607778</v>
      </c>
      <c r="E27" s="75">
        <v>376.78747860759557</v>
      </c>
      <c r="F27" s="75">
        <v>339.93765713313979</v>
      </c>
      <c r="G27" s="75">
        <v>361.1792330679263</v>
      </c>
      <c r="H27" s="75">
        <v>384.26744323607778</v>
      </c>
      <c r="I27" s="75">
        <v>384.26744323607778</v>
      </c>
      <c r="J27" s="75">
        <v>384.26744323607778</v>
      </c>
    </row>
    <row r="28" spans="2:10" ht="39" customHeight="1">
      <c r="B28" s="771">
        <v>2</v>
      </c>
      <c r="C28" s="8" t="s">
        <v>609</v>
      </c>
      <c r="D28" s="191">
        <v>4.7569014540849112E-3</v>
      </c>
      <c r="E28" s="191">
        <v>4.9486332157238355E-3</v>
      </c>
      <c r="F28" s="191">
        <v>4.0855289877427085E-3</v>
      </c>
      <c r="G28" s="191">
        <v>4.3876826314027282E-3</v>
      </c>
      <c r="H28" s="191">
        <v>4.7569014540849129E-3</v>
      </c>
      <c r="I28" s="191">
        <v>5.7514725126223739E-3</v>
      </c>
      <c r="J28" s="191">
        <v>6.9285028113116459E-3</v>
      </c>
    </row>
  </sheetData>
  <mergeCells count="7">
    <mergeCell ref="C15:C17"/>
    <mergeCell ref="B3:B4"/>
    <mergeCell ref="B5:B6"/>
    <mergeCell ref="B7:B8"/>
    <mergeCell ref="B21:B22"/>
    <mergeCell ref="B9:B10"/>
    <mergeCell ref="B13:B14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35">
    <outlinePr summaryBelow="0"/>
    <pageSetUpPr fitToPage="1"/>
  </sheetPr>
  <dimension ref="A1:BO82"/>
  <sheetViews>
    <sheetView zoomScale="85" workbookViewId="0">
      <pane ySplit="2796" topLeftCell="A68" activePane="bottomLeft"/>
      <selection pane="bottomLeft" activeCell="AD55" sqref="AD55:AP55"/>
      <selection activeCell="AF1" sqref="AF1:BO65536"/>
    </sheetView>
  </sheetViews>
  <sheetFormatPr defaultColWidth="10.7109375" defaultRowHeight="13.15" outlineLevelRow="1" outlineLevelCol="2"/>
  <cols>
    <col min="1" max="1" width="5.85546875" customWidth="1"/>
    <col min="2" max="2" width="66.42578125" customWidth="1" outlineLevel="1"/>
    <col min="3" max="3" width="12.42578125" hidden="1" customWidth="1" outlineLevel="2"/>
    <col min="4" max="4" width="12.42578125" customWidth="1" outlineLevel="1" collapsed="1"/>
    <col min="5" max="5" width="12" customWidth="1" outlineLevel="1"/>
    <col min="6" max="6" width="11.42578125" hidden="1" customWidth="1" outlineLevel="2"/>
    <col min="7" max="7" width="3.7109375" customWidth="1" outlineLevel="1" collapsed="1"/>
    <col min="8" max="16" width="2.7109375" customWidth="1"/>
    <col min="17" max="19" width="3.28515625" customWidth="1"/>
    <col min="20" max="31" width="3" customWidth="1"/>
    <col min="32" max="67" width="3.42578125" customWidth="1"/>
  </cols>
  <sheetData>
    <row r="1" spans="1:67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760"/>
      <c r="Q1" s="760"/>
      <c r="R1" s="760"/>
      <c r="S1" s="760"/>
      <c r="T1" s="760"/>
      <c r="U1" s="760"/>
      <c r="V1" s="760"/>
      <c r="W1" s="760"/>
      <c r="X1" s="760"/>
      <c r="Y1" s="760"/>
      <c r="Z1" s="760"/>
      <c r="AA1" s="760"/>
      <c r="AB1" s="760"/>
      <c r="AC1" s="760"/>
      <c r="AD1" s="760"/>
      <c r="AE1" s="760"/>
      <c r="AF1" s="760"/>
      <c r="AG1" s="760"/>
      <c r="AH1" s="760"/>
      <c r="AI1" s="760"/>
      <c r="AJ1" s="760"/>
      <c r="AK1" s="760"/>
      <c r="AL1" s="760"/>
      <c r="AM1" s="760"/>
      <c r="AN1" s="760"/>
      <c r="AO1" s="760"/>
      <c r="AP1" s="760"/>
      <c r="AQ1" s="760"/>
      <c r="AR1" s="760"/>
      <c r="AS1" s="760"/>
      <c r="AT1" s="760"/>
      <c r="AU1" s="760"/>
      <c r="AV1" s="760"/>
      <c r="AW1" s="760"/>
      <c r="AX1" s="760"/>
      <c r="AY1" s="760"/>
      <c r="AZ1" s="760"/>
      <c r="BA1" s="760"/>
      <c r="BB1" s="760"/>
      <c r="BC1" s="760"/>
      <c r="BD1" s="760"/>
      <c r="BE1" s="760"/>
      <c r="BF1" s="760"/>
      <c r="BG1" s="760"/>
      <c r="BH1" s="760"/>
      <c r="BI1" s="760"/>
      <c r="BJ1" s="760"/>
      <c r="BK1" s="760"/>
      <c r="BL1" s="760"/>
      <c r="BM1" s="760"/>
      <c r="BN1" s="760"/>
      <c r="BO1" s="760"/>
    </row>
    <row r="2" spans="1:67" ht="21">
      <c r="A2" s="965" t="s">
        <v>610</v>
      </c>
      <c r="B2" s="965"/>
      <c r="C2" s="774"/>
      <c r="D2" s="774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760"/>
      <c r="Q2" s="760"/>
      <c r="R2" s="760"/>
      <c r="S2" s="760"/>
      <c r="T2" s="760"/>
      <c r="U2" s="760"/>
      <c r="V2" s="760"/>
      <c r="W2" s="760"/>
      <c r="X2" s="760"/>
      <c r="Y2" s="760"/>
      <c r="Z2" s="760"/>
      <c r="AA2" s="760"/>
      <c r="AB2" s="760"/>
      <c r="AC2" s="760"/>
      <c r="AD2" s="760"/>
      <c r="AE2" s="760"/>
      <c r="AF2" s="760"/>
      <c r="AG2" s="760"/>
      <c r="AH2" s="760"/>
      <c r="AI2" s="760"/>
      <c r="AJ2" s="760"/>
      <c r="AK2" s="760"/>
      <c r="AL2" s="760"/>
      <c r="AM2" s="760"/>
      <c r="AN2" s="760"/>
      <c r="AO2" s="760"/>
      <c r="AP2" s="760"/>
      <c r="AQ2" s="760"/>
      <c r="AR2" s="760"/>
      <c r="AS2" s="760"/>
      <c r="AT2" s="760"/>
      <c r="AU2" s="760"/>
      <c r="AV2" s="760"/>
      <c r="AW2" s="760"/>
      <c r="AX2" s="760"/>
      <c r="AY2" s="760"/>
      <c r="AZ2" s="760"/>
      <c r="BA2" s="760"/>
      <c r="BB2" s="760"/>
      <c r="BC2" s="760"/>
      <c r="BD2" s="760"/>
      <c r="BE2" s="760"/>
      <c r="BF2" s="760"/>
      <c r="BG2" s="760"/>
      <c r="BH2" s="760"/>
      <c r="BI2" s="760"/>
      <c r="BJ2" s="760"/>
      <c r="BK2" s="760"/>
      <c r="BL2" s="760"/>
      <c r="BM2" s="760"/>
      <c r="BN2" s="760"/>
      <c r="BO2" s="760"/>
    </row>
    <row r="3" spans="1:67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  <c r="AW3" s="760"/>
      <c r="AX3" s="760"/>
      <c r="AY3" s="760"/>
      <c r="AZ3" s="760"/>
      <c r="BA3" s="760"/>
      <c r="BB3" s="760"/>
      <c r="BC3" s="760"/>
      <c r="BD3" s="760"/>
      <c r="BE3" s="760"/>
      <c r="BF3" s="760"/>
      <c r="BG3" s="760"/>
      <c r="BH3" s="760"/>
      <c r="BI3" s="760"/>
      <c r="BJ3" s="760"/>
      <c r="BK3" s="760"/>
      <c r="BL3" s="760"/>
      <c r="BM3" s="760"/>
      <c r="BN3" s="760"/>
      <c r="BO3" s="760"/>
    </row>
    <row r="4" spans="1:67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760"/>
      <c r="Q4" s="760"/>
      <c r="R4" s="760"/>
      <c r="S4" s="760"/>
      <c r="T4" s="760"/>
      <c r="U4" s="760"/>
      <c r="V4" s="760"/>
      <c r="W4" s="760"/>
      <c r="X4" s="760"/>
      <c r="Y4" s="760"/>
      <c r="Z4" s="760"/>
      <c r="AA4" s="760"/>
      <c r="AB4" s="760"/>
      <c r="AC4" s="760"/>
      <c r="AD4" s="760"/>
      <c r="AE4" s="760"/>
      <c r="AF4" s="760"/>
      <c r="AG4" s="760"/>
      <c r="AH4" s="760"/>
      <c r="AI4" s="760"/>
      <c r="AJ4" s="760"/>
      <c r="AK4" s="760"/>
      <c r="AL4" s="760"/>
      <c r="AM4" s="760"/>
      <c r="AN4" s="760"/>
      <c r="AO4" s="760"/>
      <c r="AP4" s="760"/>
      <c r="AQ4" s="760"/>
      <c r="AR4" s="760"/>
      <c r="AS4" s="760"/>
      <c r="AT4" s="760"/>
      <c r="AU4" s="760"/>
      <c r="AV4" s="760"/>
      <c r="AW4" s="760"/>
      <c r="AX4" s="760"/>
      <c r="AY4" s="760"/>
      <c r="AZ4" s="760"/>
      <c r="BA4" s="760"/>
      <c r="BB4" s="760"/>
      <c r="BC4" s="760"/>
      <c r="BD4" s="760"/>
      <c r="BE4" s="760"/>
      <c r="BF4" s="760"/>
      <c r="BG4" s="760"/>
      <c r="BH4" s="760"/>
      <c r="BI4" s="760"/>
      <c r="BJ4" s="760"/>
      <c r="BK4" s="760"/>
      <c r="BL4" s="760"/>
      <c r="BM4" s="760"/>
      <c r="BN4" s="760"/>
      <c r="BO4" s="760"/>
    </row>
    <row r="5" spans="1:67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760"/>
      <c r="Q5" s="760"/>
      <c r="R5" s="760"/>
      <c r="S5" s="760"/>
      <c r="T5" s="760"/>
      <c r="U5" s="760"/>
      <c r="V5" s="760"/>
      <c r="W5" s="760"/>
      <c r="X5" s="760"/>
      <c r="Y5" s="760"/>
      <c r="Z5" s="760"/>
      <c r="AA5" s="760"/>
      <c r="AB5" s="760"/>
      <c r="AC5" s="760"/>
      <c r="AD5" s="760"/>
      <c r="AE5" s="760"/>
      <c r="AF5" s="760"/>
      <c r="AG5" s="760"/>
      <c r="AH5" s="760"/>
      <c r="AI5" s="760"/>
      <c r="AJ5" s="760"/>
      <c r="AK5" s="760"/>
      <c r="AL5" s="760"/>
      <c r="AM5" s="760"/>
      <c r="AN5" s="760"/>
      <c r="AO5" s="760"/>
      <c r="AP5" s="760"/>
      <c r="AQ5" s="760"/>
      <c r="AR5" s="760"/>
      <c r="AS5" s="760"/>
      <c r="AT5" s="760"/>
      <c r="AU5" s="760"/>
      <c r="AV5" s="760"/>
      <c r="AW5" s="760"/>
      <c r="AX5" s="760"/>
      <c r="AY5" s="760"/>
      <c r="AZ5" s="760"/>
      <c r="BA5" s="760"/>
      <c r="BB5" s="760"/>
      <c r="BC5" s="760"/>
      <c r="BD5" s="760"/>
      <c r="BE5" s="760"/>
      <c r="BF5" s="760"/>
      <c r="BG5" s="760"/>
      <c r="BH5" s="760"/>
      <c r="BI5" s="760"/>
      <c r="BJ5" s="760"/>
      <c r="BK5" s="760"/>
      <c r="BL5" s="760"/>
      <c r="BM5" s="760"/>
      <c r="BN5" s="760"/>
      <c r="BO5" s="760"/>
    </row>
    <row r="6" spans="1:67" ht="21.75" customHeight="1">
      <c r="A6" s="1086" t="s">
        <v>487</v>
      </c>
      <c r="B6" s="1086" t="s">
        <v>506</v>
      </c>
      <c r="C6" s="1086" t="s">
        <v>611</v>
      </c>
      <c r="D6" s="1086" t="s">
        <v>612</v>
      </c>
      <c r="E6" s="1086" t="s">
        <v>613</v>
      </c>
      <c r="F6" s="1086" t="s">
        <v>18</v>
      </c>
      <c r="G6" s="23"/>
      <c r="H6" s="1091" t="s">
        <v>614</v>
      </c>
      <c r="I6" s="1092"/>
      <c r="J6" s="1092"/>
      <c r="K6" s="1092"/>
      <c r="L6" s="1092"/>
      <c r="M6" s="1092"/>
      <c r="N6" s="1092"/>
      <c r="O6" s="1092"/>
      <c r="P6" s="1092"/>
      <c r="Q6" s="1092"/>
      <c r="R6" s="1092"/>
      <c r="S6" s="1093"/>
      <c r="T6" s="1091" t="s">
        <v>615</v>
      </c>
      <c r="U6" s="1092"/>
      <c r="V6" s="1092"/>
      <c r="W6" s="1092"/>
      <c r="X6" s="1092"/>
      <c r="Y6" s="1092"/>
      <c r="Z6" s="1092"/>
      <c r="AA6" s="1092"/>
      <c r="AB6" s="1092"/>
      <c r="AC6" s="1092"/>
      <c r="AD6" s="1092"/>
      <c r="AE6" s="1093"/>
      <c r="AF6" s="1091" t="s">
        <v>616</v>
      </c>
      <c r="AG6" s="1092"/>
      <c r="AH6" s="1092"/>
      <c r="AI6" s="1092"/>
      <c r="AJ6" s="1092"/>
      <c r="AK6" s="1092"/>
      <c r="AL6" s="1092"/>
      <c r="AM6" s="1092"/>
      <c r="AN6" s="1092"/>
      <c r="AO6" s="1092"/>
      <c r="AP6" s="1092"/>
      <c r="AQ6" s="1093"/>
      <c r="AR6" s="1091" t="s">
        <v>617</v>
      </c>
      <c r="AS6" s="1092"/>
      <c r="AT6" s="1092"/>
      <c r="AU6" s="1092"/>
      <c r="AV6" s="1092"/>
      <c r="AW6" s="1092"/>
      <c r="AX6" s="1092"/>
      <c r="AY6" s="1092"/>
      <c r="AZ6" s="1092"/>
      <c r="BA6" s="1092"/>
      <c r="BB6" s="1092"/>
      <c r="BC6" s="1093"/>
      <c r="BD6" s="1091" t="s">
        <v>618</v>
      </c>
      <c r="BE6" s="1092"/>
      <c r="BF6" s="1092"/>
      <c r="BG6" s="1092"/>
      <c r="BH6" s="1092"/>
      <c r="BI6" s="1092"/>
      <c r="BJ6" s="1092"/>
      <c r="BK6" s="1092"/>
      <c r="BL6" s="1092"/>
      <c r="BM6" s="1092"/>
      <c r="BN6" s="1092"/>
      <c r="BO6" s="1093"/>
    </row>
    <row r="7" spans="1:67" ht="21.75" customHeight="1">
      <c r="A7" s="1086"/>
      <c r="B7" s="1086"/>
      <c r="C7" s="1154"/>
      <c r="D7" s="1154"/>
      <c r="E7" s="1154"/>
      <c r="F7" s="1154"/>
      <c r="G7" s="23"/>
      <c r="H7" s="1095">
        <v>1</v>
      </c>
      <c r="I7" s="1095">
        <v>2</v>
      </c>
      <c r="J7" s="1095">
        <v>3</v>
      </c>
      <c r="K7" s="1095">
        <v>4</v>
      </c>
      <c r="L7" s="1095">
        <v>5</v>
      </c>
      <c r="M7" s="1095">
        <v>6</v>
      </c>
      <c r="N7" s="1095">
        <v>7</v>
      </c>
      <c r="O7" s="1095">
        <v>8</v>
      </c>
      <c r="P7" s="1095">
        <v>9</v>
      </c>
      <c r="Q7" s="1095">
        <v>10</v>
      </c>
      <c r="R7" s="1095">
        <v>11</v>
      </c>
      <c r="S7" s="1095">
        <v>12</v>
      </c>
      <c r="T7" s="1095">
        <v>13</v>
      </c>
      <c r="U7" s="1095">
        <v>14</v>
      </c>
      <c r="V7" s="1095">
        <v>15</v>
      </c>
      <c r="W7" s="1095">
        <v>16</v>
      </c>
      <c r="X7" s="1095">
        <v>17</v>
      </c>
      <c r="Y7" s="1095">
        <v>18</v>
      </c>
      <c r="Z7" s="1095">
        <v>19</v>
      </c>
      <c r="AA7" s="1095">
        <v>20</v>
      </c>
      <c r="AB7" s="1095">
        <v>21</v>
      </c>
      <c r="AC7" s="1095">
        <v>22</v>
      </c>
      <c r="AD7" s="1095">
        <v>23</v>
      </c>
      <c r="AE7" s="1095">
        <v>24</v>
      </c>
      <c r="AF7" s="1095">
        <v>25</v>
      </c>
      <c r="AG7" s="1095">
        <v>26</v>
      </c>
      <c r="AH7" s="1095">
        <v>27</v>
      </c>
      <c r="AI7" s="1095">
        <v>28</v>
      </c>
      <c r="AJ7" s="1095">
        <v>29</v>
      </c>
      <c r="AK7" s="1095">
        <v>30</v>
      </c>
      <c r="AL7" s="1095">
        <v>31</v>
      </c>
      <c r="AM7" s="1095">
        <v>32</v>
      </c>
      <c r="AN7" s="1095">
        <v>33</v>
      </c>
      <c r="AO7" s="1095">
        <v>34</v>
      </c>
      <c r="AP7" s="1095">
        <v>35</v>
      </c>
      <c r="AQ7" s="1095">
        <v>36</v>
      </c>
      <c r="AR7" s="1095">
        <v>37</v>
      </c>
      <c r="AS7" s="1095">
        <v>38</v>
      </c>
      <c r="AT7" s="1095">
        <v>39</v>
      </c>
      <c r="AU7" s="1095">
        <v>40</v>
      </c>
      <c r="AV7" s="1095">
        <v>41</v>
      </c>
      <c r="AW7" s="1095">
        <v>42</v>
      </c>
      <c r="AX7" s="1095">
        <v>43</v>
      </c>
      <c r="AY7" s="1095">
        <v>44</v>
      </c>
      <c r="AZ7" s="1095">
        <v>45</v>
      </c>
      <c r="BA7" s="1095">
        <v>46</v>
      </c>
      <c r="BB7" s="1095">
        <v>47</v>
      </c>
      <c r="BC7" s="1095">
        <v>48</v>
      </c>
      <c r="BD7" s="1095">
        <v>49</v>
      </c>
      <c r="BE7" s="1095">
        <v>50</v>
      </c>
      <c r="BF7" s="1095">
        <v>51</v>
      </c>
      <c r="BG7" s="1095">
        <v>52</v>
      </c>
      <c r="BH7" s="1095">
        <v>53</v>
      </c>
      <c r="BI7" s="1095">
        <v>54</v>
      </c>
      <c r="BJ7" s="1095">
        <v>55</v>
      </c>
      <c r="BK7" s="1095">
        <v>56</v>
      </c>
      <c r="BL7" s="1095">
        <v>57</v>
      </c>
      <c r="BM7" s="1095">
        <v>58</v>
      </c>
      <c r="BN7" s="1095">
        <v>59</v>
      </c>
      <c r="BO7" s="1095">
        <v>60</v>
      </c>
    </row>
    <row r="8" spans="1:67" ht="27" customHeight="1">
      <c r="A8" s="1080" t="e">
        <f>#REF!</f>
        <v>#REF!</v>
      </c>
      <c r="B8" s="1155" t="e">
        <f>#REF!</f>
        <v>#REF!</v>
      </c>
      <c r="C8" s="1156"/>
      <c r="D8" s="1157"/>
      <c r="E8" s="1157"/>
      <c r="F8" s="91"/>
      <c r="G8" s="23"/>
      <c r="H8" s="8"/>
      <c r="I8" s="8"/>
      <c r="J8" s="8"/>
      <c r="K8" s="8"/>
      <c r="L8" s="8"/>
      <c r="M8" s="8"/>
      <c r="N8" s="8"/>
      <c r="O8" s="8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  <c r="BI8" s="165"/>
      <c r="BJ8" s="165"/>
      <c r="BK8" s="165"/>
      <c r="BL8" s="165"/>
      <c r="BM8" s="165"/>
      <c r="BN8" s="165"/>
      <c r="BO8" s="165"/>
    </row>
    <row r="9" spans="1:67" ht="27" customHeight="1" outlineLevel="1">
      <c r="A9" s="1103" t="e">
        <f>#REF!</f>
        <v>#REF!</v>
      </c>
      <c r="B9" s="1158" t="e">
        <f>#REF!</f>
        <v>#REF!</v>
      </c>
      <c r="C9" s="1159"/>
      <c r="D9" s="1160"/>
      <c r="E9" s="1160"/>
      <c r="F9" s="91"/>
      <c r="G9" s="23"/>
      <c r="H9" s="8"/>
      <c r="I9" s="8"/>
      <c r="J9" s="8"/>
      <c r="K9" s="8"/>
      <c r="L9" s="8"/>
      <c r="M9" s="8"/>
      <c r="N9" s="8"/>
      <c r="O9" s="8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  <c r="AE9" s="254"/>
      <c r="AF9" s="254"/>
      <c r="AG9" s="254"/>
      <c r="AH9" s="254"/>
      <c r="AI9" s="254"/>
      <c r="AJ9" s="254"/>
      <c r="AK9" s="254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4"/>
      <c r="AY9" s="254"/>
      <c r="AZ9" s="254"/>
      <c r="BA9" s="254"/>
      <c r="BB9" s="254"/>
      <c r="BC9" s="254"/>
      <c r="BD9" s="254"/>
      <c r="BE9" s="254"/>
      <c r="BF9" s="254"/>
      <c r="BG9" s="254"/>
      <c r="BH9" s="254"/>
      <c r="BI9" s="254"/>
      <c r="BJ9" s="254"/>
      <c r="BK9" s="254"/>
      <c r="BL9" s="8"/>
      <c r="BM9" s="8"/>
      <c r="BN9" s="8"/>
      <c r="BO9" s="8"/>
    </row>
    <row r="10" spans="1:67" ht="27" customHeight="1" outlineLevel="1">
      <c r="A10" s="79" t="e">
        <f>#REF!</f>
        <v>#REF!</v>
      </c>
      <c r="B10" s="80" t="e">
        <f>#REF!</f>
        <v>#REF!</v>
      </c>
      <c r="C10" s="85" t="e">
        <f t="shared" ref="C10:D16" si="0">IF($E10=0,0,3)</f>
        <v>#REF!</v>
      </c>
      <c r="D10" s="85" t="e">
        <f t="shared" si="0"/>
        <v>#REF!</v>
      </c>
      <c r="E10" s="87" t="e">
        <f>#REF!</f>
        <v>#REF!</v>
      </c>
      <c r="F10" s="92" t="e">
        <f>SUM(C10:E10)</f>
        <v>#REF!</v>
      </c>
      <c r="G10" s="23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163">
        <v>1</v>
      </c>
      <c r="Z10" s="163">
        <v>2</v>
      </c>
      <c r="AA10" s="163">
        <v>3</v>
      </c>
      <c r="AB10" s="163">
        <v>1</v>
      </c>
      <c r="AC10" s="163">
        <v>2</v>
      </c>
      <c r="AD10" s="163">
        <v>3</v>
      </c>
      <c r="AE10" s="163">
        <v>4</v>
      </c>
      <c r="AF10" s="163">
        <v>5</v>
      </c>
      <c r="AG10" s="163">
        <v>6</v>
      </c>
      <c r="AH10" s="163">
        <v>7</v>
      </c>
      <c r="AI10" s="163">
        <v>8</v>
      </c>
      <c r="AJ10" s="163">
        <v>9</v>
      </c>
      <c r="AK10" s="163">
        <v>10</v>
      </c>
      <c r="AL10" s="163">
        <v>11</v>
      </c>
      <c r="AM10" s="163">
        <v>12</v>
      </c>
      <c r="AN10" s="163">
        <v>13</v>
      </c>
      <c r="AO10" s="163">
        <v>14</v>
      </c>
      <c r="AP10" s="163">
        <v>15</v>
      </c>
      <c r="AQ10" s="163">
        <v>16</v>
      </c>
      <c r="AR10" s="163">
        <v>17</v>
      </c>
      <c r="AS10" s="163">
        <v>18</v>
      </c>
      <c r="AT10" s="163">
        <v>19</v>
      </c>
      <c r="AU10" s="163">
        <v>20</v>
      </c>
      <c r="AV10" s="163">
        <v>21</v>
      </c>
      <c r="AW10" s="163">
        <v>22</v>
      </c>
      <c r="AX10" s="163">
        <v>23</v>
      </c>
      <c r="AY10" s="163">
        <v>24</v>
      </c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</row>
    <row r="11" spans="1:67" ht="27" customHeight="1" outlineLevel="1">
      <c r="A11" s="79" t="e">
        <f>#REF!</f>
        <v>#REF!</v>
      </c>
      <c r="B11" s="80" t="e">
        <f>#REF!</f>
        <v>#REF!</v>
      </c>
      <c r="C11" s="85" t="e">
        <f t="shared" si="0"/>
        <v>#REF!</v>
      </c>
      <c r="D11" s="85" t="e">
        <f t="shared" si="0"/>
        <v>#REF!</v>
      </c>
      <c r="E11" s="85" t="e">
        <f>#REF!</f>
        <v>#REF!</v>
      </c>
      <c r="F11" s="92" t="e">
        <f t="shared" ref="F11:F82" si="1">SUM(C11:E11)</f>
        <v>#REF!</v>
      </c>
      <c r="G11" s="23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164">
        <v>1</v>
      </c>
      <c r="Z11" s="164">
        <v>2</v>
      </c>
      <c r="AA11" s="164">
        <v>2</v>
      </c>
      <c r="AB11" s="164">
        <v>1</v>
      </c>
      <c r="AC11" s="164">
        <v>2</v>
      </c>
      <c r="AD11" s="164">
        <v>3</v>
      </c>
      <c r="AE11" s="164">
        <v>4</v>
      </c>
      <c r="AF11" s="164">
        <v>5</v>
      </c>
      <c r="AG11" s="164">
        <v>6</v>
      </c>
      <c r="AH11" s="164">
        <v>7</v>
      </c>
      <c r="AI11" s="164">
        <v>8</v>
      </c>
      <c r="AJ11" s="164">
        <v>9</v>
      </c>
      <c r="AK11" s="164">
        <v>10</v>
      </c>
      <c r="AL11" s="164">
        <v>11</v>
      </c>
      <c r="AM11" s="164">
        <v>12</v>
      </c>
      <c r="AN11" s="164">
        <v>13</v>
      </c>
      <c r="AO11" s="164">
        <v>14</v>
      </c>
      <c r="AP11" s="164">
        <v>15</v>
      </c>
      <c r="AQ11" s="164">
        <v>16</v>
      </c>
      <c r="AR11" s="164">
        <v>17</v>
      </c>
      <c r="AS11" s="164">
        <v>18</v>
      </c>
      <c r="AT11" s="164">
        <v>19</v>
      </c>
      <c r="AU11" s="164">
        <v>20</v>
      </c>
      <c r="AV11" s="164">
        <v>21</v>
      </c>
      <c r="AW11" s="164">
        <v>22</v>
      </c>
      <c r="AX11" s="164">
        <v>23</v>
      </c>
      <c r="AY11" s="164">
        <v>24</v>
      </c>
      <c r="AZ11" s="164">
        <v>25</v>
      </c>
      <c r="BA11" s="164">
        <v>26</v>
      </c>
      <c r="BB11" s="164">
        <v>27</v>
      </c>
      <c r="BC11" s="164">
        <v>28</v>
      </c>
      <c r="BD11" s="164">
        <v>29</v>
      </c>
      <c r="BE11" s="164">
        <v>30</v>
      </c>
      <c r="BF11" s="164">
        <v>31</v>
      </c>
      <c r="BG11" s="164">
        <v>32</v>
      </c>
      <c r="BH11" s="164">
        <v>33</v>
      </c>
      <c r="BI11" s="164">
        <v>34</v>
      </c>
      <c r="BJ11" s="164">
        <v>35</v>
      </c>
      <c r="BK11" s="164">
        <v>36</v>
      </c>
      <c r="BL11" s="8"/>
      <c r="BM11" s="8"/>
      <c r="BN11" s="8"/>
      <c r="BO11" s="8"/>
    </row>
    <row r="12" spans="1:67" ht="27" customHeight="1" outlineLevel="1">
      <c r="A12" s="79" t="e">
        <f>#REF!</f>
        <v>#REF!</v>
      </c>
      <c r="B12" s="80" t="e">
        <f>#REF!</f>
        <v>#REF!</v>
      </c>
      <c r="C12" s="85" t="e">
        <f t="shared" si="0"/>
        <v>#REF!</v>
      </c>
      <c r="D12" s="85" t="e">
        <f t="shared" si="0"/>
        <v>#REF!</v>
      </c>
      <c r="E12" s="85" t="e">
        <f>#REF!</f>
        <v>#REF!</v>
      </c>
      <c r="F12" s="92" t="e">
        <f t="shared" si="1"/>
        <v>#REF!</v>
      </c>
      <c r="G12" s="23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164">
        <v>1</v>
      </c>
      <c r="Z12" s="164">
        <v>2</v>
      </c>
      <c r="AA12" s="164">
        <v>3</v>
      </c>
      <c r="AB12" s="164">
        <v>1</v>
      </c>
      <c r="AC12" s="164">
        <v>2</v>
      </c>
      <c r="AD12" s="164">
        <v>3</v>
      </c>
      <c r="AE12" s="164">
        <v>4</v>
      </c>
      <c r="AF12" s="164">
        <v>5</v>
      </c>
      <c r="AG12" s="164">
        <v>6</v>
      </c>
      <c r="AH12" s="164">
        <v>7</v>
      </c>
      <c r="AI12" s="164">
        <v>8</v>
      </c>
      <c r="AJ12" s="164">
        <v>9</v>
      </c>
      <c r="AK12" s="164">
        <v>10</v>
      </c>
      <c r="AL12" s="164">
        <v>11</v>
      </c>
      <c r="AM12" s="164">
        <v>12</v>
      </c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27" customHeight="1" outlineLevel="1">
      <c r="A13" s="79" t="e">
        <f>#REF!</f>
        <v>#REF!</v>
      </c>
      <c r="B13" s="80" t="e">
        <f>#REF!</f>
        <v>#REF!</v>
      </c>
      <c r="C13" s="85" t="e">
        <f t="shared" si="0"/>
        <v>#REF!</v>
      </c>
      <c r="D13" s="85" t="e">
        <f t="shared" si="0"/>
        <v>#REF!</v>
      </c>
      <c r="E13" s="85" t="e">
        <f>#REF!</f>
        <v>#REF!</v>
      </c>
      <c r="F13" s="92" t="e">
        <f t="shared" si="1"/>
        <v>#REF!</v>
      </c>
      <c r="G13" s="23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164">
        <v>1</v>
      </c>
      <c r="Z13" s="164">
        <v>2</v>
      </c>
      <c r="AA13" s="164">
        <v>3</v>
      </c>
      <c r="AB13" s="164">
        <v>1</v>
      </c>
      <c r="AC13" s="164">
        <v>2</v>
      </c>
      <c r="AD13" s="164">
        <v>3</v>
      </c>
      <c r="AE13" s="164">
        <v>4</v>
      </c>
      <c r="AF13" s="164">
        <v>5</v>
      </c>
      <c r="AG13" s="164">
        <v>6</v>
      </c>
      <c r="AH13" s="164">
        <v>7</v>
      </c>
      <c r="AI13" s="164">
        <v>8</v>
      </c>
      <c r="AJ13" s="164">
        <v>9</v>
      </c>
      <c r="AK13" s="164">
        <v>10</v>
      </c>
      <c r="AL13" s="164">
        <v>11</v>
      </c>
      <c r="AM13" s="164">
        <v>12</v>
      </c>
      <c r="AN13" s="164">
        <v>13</v>
      </c>
      <c r="AO13" s="164">
        <v>14</v>
      </c>
      <c r="AP13" s="164">
        <v>15</v>
      </c>
      <c r="AQ13" s="164">
        <v>16</v>
      </c>
      <c r="AR13" s="164">
        <v>17</v>
      </c>
      <c r="AS13" s="164">
        <v>18</v>
      </c>
      <c r="AT13" s="164">
        <v>19</v>
      </c>
      <c r="AU13" s="164">
        <v>20</v>
      </c>
      <c r="AV13" s="164">
        <v>21</v>
      </c>
      <c r="AW13" s="164">
        <v>22</v>
      </c>
      <c r="AX13" s="164">
        <v>23</v>
      </c>
      <c r="AY13" s="164">
        <v>24</v>
      </c>
      <c r="AZ13" s="164">
        <v>25</v>
      </c>
      <c r="BA13" s="164">
        <v>26</v>
      </c>
      <c r="BB13" s="164">
        <v>27</v>
      </c>
      <c r="BC13" s="164">
        <v>28</v>
      </c>
      <c r="BD13" s="164">
        <v>29</v>
      </c>
      <c r="BE13" s="164">
        <v>30</v>
      </c>
      <c r="BF13" s="8"/>
      <c r="BG13" s="8"/>
      <c r="BH13" s="8"/>
      <c r="BI13" s="8"/>
      <c r="BJ13" s="8"/>
      <c r="BK13" s="8"/>
      <c r="BL13" s="8"/>
      <c r="BM13" s="8"/>
      <c r="BN13" s="8"/>
      <c r="BO13" s="8"/>
    </row>
    <row r="14" spans="1:67" ht="27" customHeight="1" outlineLevel="1">
      <c r="A14" s="79" t="e">
        <f>#REF!</f>
        <v>#REF!</v>
      </c>
      <c r="B14" s="80" t="e">
        <f>#REF!</f>
        <v>#REF!</v>
      </c>
      <c r="C14" s="85" t="e">
        <f t="shared" si="0"/>
        <v>#REF!</v>
      </c>
      <c r="D14" s="85" t="e">
        <f t="shared" si="0"/>
        <v>#REF!</v>
      </c>
      <c r="E14" s="85" t="e">
        <f>#REF!</f>
        <v>#REF!</v>
      </c>
      <c r="F14" s="92" t="e">
        <f t="shared" si="1"/>
        <v>#REF!</v>
      </c>
      <c r="G14" s="23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164">
        <v>1</v>
      </c>
      <c r="Z14" s="164">
        <v>2</v>
      </c>
      <c r="AA14" s="164">
        <v>3</v>
      </c>
      <c r="AB14" s="164">
        <v>1</v>
      </c>
      <c r="AC14" s="164">
        <v>2</v>
      </c>
      <c r="AD14" s="164">
        <v>3</v>
      </c>
      <c r="AE14" s="164">
        <v>4</v>
      </c>
      <c r="AF14" s="164">
        <v>5</v>
      </c>
      <c r="AG14" s="164">
        <v>6</v>
      </c>
      <c r="AH14" s="164">
        <v>7</v>
      </c>
      <c r="AI14" s="164">
        <v>8</v>
      </c>
      <c r="AJ14" s="164">
        <v>9</v>
      </c>
      <c r="AK14" s="164">
        <v>10</v>
      </c>
      <c r="AL14" s="164">
        <v>11</v>
      </c>
      <c r="AM14" s="164">
        <v>12</v>
      </c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</row>
    <row r="15" spans="1:67" ht="27" customHeight="1" outlineLevel="1">
      <c r="A15" s="79" t="e">
        <f>#REF!</f>
        <v>#REF!</v>
      </c>
      <c r="B15" s="80" t="e">
        <f>#REF!</f>
        <v>#REF!</v>
      </c>
      <c r="C15" s="85" t="e">
        <f t="shared" si="0"/>
        <v>#REF!</v>
      </c>
      <c r="D15" s="85" t="e">
        <f t="shared" si="0"/>
        <v>#REF!</v>
      </c>
      <c r="E15" s="85" t="e">
        <f>#REF!</f>
        <v>#REF!</v>
      </c>
      <c r="F15" s="92" t="e">
        <f t="shared" si="1"/>
        <v>#REF!</v>
      </c>
      <c r="G15" s="23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164">
        <v>1</v>
      </c>
      <c r="Z15" s="164">
        <v>2</v>
      </c>
      <c r="AA15" s="164">
        <v>3</v>
      </c>
      <c r="AB15" s="164">
        <v>1</v>
      </c>
      <c r="AC15" s="164">
        <v>2</v>
      </c>
      <c r="AD15" s="164">
        <v>3</v>
      </c>
      <c r="AE15" s="164">
        <v>4</v>
      </c>
      <c r="AF15" s="164">
        <v>5</v>
      </c>
      <c r="AG15" s="164">
        <v>6</v>
      </c>
      <c r="AH15" s="164">
        <v>7</v>
      </c>
      <c r="AI15" s="164">
        <v>8</v>
      </c>
      <c r="AJ15" s="164">
        <v>9</v>
      </c>
      <c r="AK15" s="164">
        <v>10</v>
      </c>
      <c r="AL15" s="164">
        <v>11</v>
      </c>
      <c r="AM15" s="164">
        <v>12</v>
      </c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</row>
    <row r="16" spans="1:67" ht="27" customHeight="1" outlineLevel="1">
      <c r="A16" s="79" t="e">
        <f>#REF!</f>
        <v>#REF!</v>
      </c>
      <c r="B16" s="80" t="e">
        <f>#REF!</f>
        <v>#REF!</v>
      </c>
      <c r="C16" s="85" t="e">
        <f t="shared" si="0"/>
        <v>#REF!</v>
      </c>
      <c r="D16" s="85" t="e">
        <f t="shared" si="0"/>
        <v>#REF!</v>
      </c>
      <c r="E16" s="86" t="e">
        <f>#REF!</f>
        <v>#REF!</v>
      </c>
      <c r="F16" s="92" t="e">
        <f t="shared" si="1"/>
        <v>#REF!</v>
      </c>
      <c r="G16" s="23"/>
      <c r="H16" s="8"/>
      <c r="I16" s="8"/>
      <c r="J16" s="8"/>
      <c r="K16" s="8"/>
      <c r="L16" s="8"/>
      <c r="M16" s="8"/>
      <c r="N16" s="8"/>
      <c r="O16" s="8"/>
      <c r="P16" s="164">
        <v>1</v>
      </c>
      <c r="Q16" s="164">
        <v>2</v>
      </c>
      <c r="R16" s="164">
        <v>3</v>
      </c>
      <c r="S16" s="164">
        <v>1</v>
      </c>
      <c r="T16" s="164">
        <v>2</v>
      </c>
      <c r="U16" s="164">
        <v>3</v>
      </c>
      <c r="V16" s="164">
        <v>4</v>
      </c>
      <c r="W16" s="164">
        <v>5</v>
      </c>
      <c r="X16" s="164">
        <v>6</v>
      </c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</row>
    <row r="17" spans="1:67" ht="27" customHeight="1" outlineLevel="1">
      <c r="A17" s="79" t="e">
        <f>#REF!</f>
        <v>#REF!</v>
      </c>
      <c r="B17" s="80" t="e">
        <f>#REF!</f>
        <v>#REF!</v>
      </c>
      <c r="C17" s="178"/>
      <c r="D17" s="85">
        <v>3</v>
      </c>
      <c r="E17" s="85" t="e">
        <f>#REF!</f>
        <v>#REF!</v>
      </c>
      <c r="F17" s="179"/>
      <c r="G17" s="23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164">
        <v>1</v>
      </c>
      <c r="Z17" s="164">
        <v>2</v>
      </c>
      <c r="AA17" s="164">
        <v>3</v>
      </c>
      <c r="AB17" s="164">
        <v>1</v>
      </c>
      <c r="AC17" s="164">
        <v>2</v>
      </c>
      <c r="AD17" s="164">
        <v>3</v>
      </c>
      <c r="AE17" s="164">
        <v>4</v>
      </c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</row>
    <row r="18" spans="1:67" ht="27" customHeight="1" outlineLevel="1">
      <c r="A18" s="79" t="e">
        <f>#REF!</f>
        <v>#REF!</v>
      </c>
      <c r="B18" s="80" t="e">
        <f>#REF!</f>
        <v>#REF!</v>
      </c>
      <c r="C18" s="178"/>
      <c r="D18" s="85">
        <v>3</v>
      </c>
      <c r="E18" s="85" t="e">
        <f>#REF!</f>
        <v>#REF!</v>
      </c>
      <c r="F18" s="179"/>
      <c r="G18" s="23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164">
        <v>1</v>
      </c>
      <c r="AG18" s="164">
        <v>2</v>
      </c>
      <c r="AH18" s="164">
        <v>3</v>
      </c>
      <c r="AI18" s="164">
        <v>1</v>
      </c>
      <c r="AJ18" s="164">
        <v>2</v>
      </c>
      <c r="AK18" s="164">
        <v>3</v>
      </c>
      <c r="AL18" s="164">
        <v>4</v>
      </c>
      <c r="AM18" s="164">
        <v>5</v>
      </c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</row>
    <row r="19" spans="1:67" ht="27" customHeight="1" outlineLevel="1">
      <c r="A19" s="79" t="e">
        <f>#REF!</f>
        <v>#REF!</v>
      </c>
      <c r="B19" s="80" t="e">
        <f>#REF!</f>
        <v>#REF!</v>
      </c>
      <c r="C19" s="178"/>
      <c r="D19" s="85">
        <v>3</v>
      </c>
      <c r="E19" s="85" t="e">
        <f>#REF!</f>
        <v>#REF!</v>
      </c>
      <c r="F19" s="179"/>
      <c r="G19" s="23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164">
        <v>1</v>
      </c>
      <c r="AG19" s="164">
        <v>2</v>
      </c>
      <c r="AH19" s="164">
        <v>3</v>
      </c>
      <c r="AI19" s="164">
        <v>1</v>
      </c>
      <c r="AJ19" s="164">
        <v>2</v>
      </c>
      <c r="AK19" s="164">
        <v>3</v>
      </c>
      <c r="AL19" s="164">
        <v>4</v>
      </c>
      <c r="AM19" s="164">
        <v>5</v>
      </c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</row>
    <row r="20" spans="1:67" ht="33.75" customHeight="1" outlineLevel="1">
      <c r="A20" s="79" t="e">
        <f>#REF!</f>
        <v>#REF!</v>
      </c>
      <c r="B20" s="80" t="e">
        <f>#REF!</f>
        <v>#REF!</v>
      </c>
      <c r="C20" s="178"/>
      <c r="D20" s="85">
        <v>3</v>
      </c>
      <c r="E20" s="85" t="e">
        <f>#REF!</f>
        <v>#REF!</v>
      </c>
      <c r="F20" s="179"/>
      <c r="G20" s="23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64">
        <v>1</v>
      </c>
      <c r="AO20" s="164">
        <v>2</v>
      </c>
      <c r="AP20" s="164">
        <v>3</v>
      </c>
      <c r="AQ20" s="164">
        <v>1</v>
      </c>
      <c r="AR20" s="164">
        <v>2</v>
      </c>
      <c r="AS20" s="164">
        <v>3</v>
      </c>
      <c r="AT20" s="164">
        <v>4</v>
      </c>
      <c r="AU20" s="164">
        <v>5</v>
      </c>
      <c r="AV20" s="164">
        <v>6</v>
      </c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</row>
    <row r="21" spans="1:67" ht="39" customHeight="1" outlineLevel="1">
      <c r="A21" s="79" t="e">
        <f>#REF!</f>
        <v>#REF!</v>
      </c>
      <c r="B21" s="80" t="e">
        <f>#REF!</f>
        <v>#REF!</v>
      </c>
      <c r="C21" s="178"/>
      <c r="D21" s="85">
        <v>3</v>
      </c>
      <c r="E21" s="85" t="e">
        <f>#REF!</f>
        <v>#REF!</v>
      </c>
      <c r="F21" s="179"/>
      <c r="G21" s="23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164">
        <v>1</v>
      </c>
      <c r="AO21" s="164">
        <v>2</v>
      </c>
      <c r="AP21" s="164">
        <v>3</v>
      </c>
      <c r="AQ21" s="164">
        <v>1</v>
      </c>
      <c r="AR21" s="164">
        <v>2</v>
      </c>
      <c r="AS21" s="164">
        <v>3</v>
      </c>
      <c r="AT21" s="164">
        <v>4</v>
      </c>
      <c r="AU21" s="164">
        <v>5</v>
      </c>
      <c r="AV21" s="164">
        <v>6</v>
      </c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</row>
    <row r="22" spans="1:67" ht="27" customHeight="1" outlineLevel="1">
      <c r="A22" s="1103" t="e">
        <f>#REF!</f>
        <v>#REF!</v>
      </c>
      <c r="B22" s="1158" t="e">
        <f>#REF!</f>
        <v>#REF!</v>
      </c>
      <c r="C22" s="88"/>
      <c r="D22" s="89"/>
      <c r="E22" s="1160"/>
      <c r="F22" s="90"/>
      <c r="G22" s="23"/>
      <c r="H22" s="8"/>
      <c r="I22" s="8"/>
      <c r="J22" s="8"/>
      <c r="K22" s="8"/>
      <c r="L22" s="8"/>
      <c r="M22" s="8"/>
      <c r="N22" s="8"/>
      <c r="O22" s="8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5"/>
      <c r="BA22" s="255"/>
      <c r="BB22" s="255"/>
      <c r="BC22" s="255"/>
      <c r="BD22" s="255"/>
      <c r="BE22" s="255"/>
      <c r="BF22" s="8"/>
      <c r="BG22" s="8"/>
      <c r="BH22" s="8"/>
      <c r="BI22" s="8"/>
      <c r="BJ22" s="8"/>
      <c r="BK22" s="8"/>
      <c r="BL22" s="8"/>
      <c r="BM22" s="8"/>
      <c r="BN22" s="8"/>
      <c r="BO22" s="8"/>
    </row>
    <row r="23" spans="1:67" ht="27" customHeight="1" outlineLevel="1">
      <c r="A23" s="79" t="e">
        <f>#REF!</f>
        <v>#REF!</v>
      </c>
      <c r="B23" s="80" t="e">
        <f>#REF!</f>
        <v>#REF!</v>
      </c>
      <c r="C23" s="85" t="e">
        <f t="shared" ref="C23:D32" si="2">IF($E23=0,0,3)</f>
        <v>#REF!</v>
      </c>
      <c r="D23" s="85" t="e">
        <f t="shared" si="2"/>
        <v>#REF!</v>
      </c>
      <c r="E23" s="85" t="e">
        <f>#REF!</f>
        <v>#REF!</v>
      </c>
      <c r="F23" s="92" t="e">
        <f t="shared" si="1"/>
        <v>#REF!</v>
      </c>
      <c r="G23" s="23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164">
        <v>1</v>
      </c>
      <c r="X23" s="164">
        <v>2</v>
      </c>
      <c r="Y23" s="164">
        <v>3</v>
      </c>
      <c r="Z23" s="164">
        <v>1</v>
      </c>
      <c r="AA23" s="164">
        <v>2</v>
      </c>
      <c r="AB23" s="164">
        <v>3</v>
      </c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</row>
    <row r="24" spans="1:67" ht="41.25" customHeight="1" outlineLevel="1">
      <c r="A24" s="79" t="e">
        <f>#REF!</f>
        <v>#REF!</v>
      </c>
      <c r="B24" s="80" t="e">
        <f>#REF!</f>
        <v>#REF!</v>
      </c>
      <c r="C24" s="85" t="e">
        <f t="shared" si="2"/>
        <v>#REF!</v>
      </c>
      <c r="D24" s="85" t="e">
        <f t="shared" si="2"/>
        <v>#REF!</v>
      </c>
      <c r="E24" s="85" t="e">
        <f>#REF!</f>
        <v>#REF!</v>
      </c>
      <c r="F24" s="92" t="e">
        <f t="shared" si="1"/>
        <v>#REF!</v>
      </c>
      <c r="G24" s="23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64">
        <v>1</v>
      </c>
      <c r="AD24" s="164">
        <v>2</v>
      </c>
      <c r="AE24" s="164">
        <v>3</v>
      </c>
      <c r="AF24" s="164">
        <v>1</v>
      </c>
      <c r="AG24" s="164">
        <v>2</v>
      </c>
      <c r="AH24" s="164">
        <v>3</v>
      </c>
      <c r="AI24" s="164">
        <v>4</v>
      </c>
      <c r="AJ24" s="164">
        <v>5</v>
      </c>
      <c r="AK24" s="164">
        <v>6</v>
      </c>
      <c r="AL24" s="164">
        <v>7</v>
      </c>
      <c r="AM24" s="164">
        <v>8</v>
      </c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</row>
    <row r="25" spans="1:67" ht="39.75" customHeight="1" outlineLevel="1">
      <c r="A25" s="79" t="e">
        <f>#REF!</f>
        <v>#REF!</v>
      </c>
      <c r="B25" s="80" t="e">
        <f>#REF!</f>
        <v>#REF!</v>
      </c>
      <c r="C25" s="85" t="e">
        <f t="shared" si="2"/>
        <v>#REF!</v>
      </c>
      <c r="D25" s="85" t="e">
        <f t="shared" si="2"/>
        <v>#REF!</v>
      </c>
      <c r="E25" s="85" t="e">
        <f>#REF!</f>
        <v>#REF!</v>
      </c>
      <c r="F25" s="92" t="e">
        <f t="shared" si="1"/>
        <v>#REF!</v>
      </c>
      <c r="G25" s="23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164">
        <v>1</v>
      </c>
      <c r="AO25" s="164">
        <v>2</v>
      </c>
      <c r="AP25" s="164">
        <v>3</v>
      </c>
      <c r="AQ25" s="164">
        <v>1</v>
      </c>
      <c r="AR25" s="164">
        <v>2</v>
      </c>
      <c r="AS25" s="164">
        <v>3</v>
      </c>
      <c r="AT25" s="164">
        <v>4</v>
      </c>
      <c r="AU25" s="164">
        <v>5</v>
      </c>
      <c r="AV25" s="164">
        <v>6</v>
      </c>
      <c r="AW25" s="164">
        <v>7</v>
      </c>
      <c r="AX25" s="164">
        <v>8</v>
      </c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</row>
    <row r="26" spans="1:67" ht="27" customHeight="1" outlineLevel="1">
      <c r="A26" s="79" t="e">
        <f>#REF!</f>
        <v>#REF!</v>
      </c>
      <c r="B26" s="80" t="e">
        <f>#REF!</f>
        <v>#REF!</v>
      </c>
      <c r="C26" s="85" t="e">
        <f t="shared" si="2"/>
        <v>#REF!</v>
      </c>
      <c r="D26" s="85" t="e">
        <f t="shared" si="2"/>
        <v>#REF!</v>
      </c>
      <c r="E26" s="85" t="e">
        <f>#REF!</f>
        <v>#REF!</v>
      </c>
      <c r="F26" s="92" t="e">
        <f t="shared" si="1"/>
        <v>#REF!</v>
      </c>
      <c r="G26" s="23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164">
        <v>1</v>
      </c>
      <c r="AZ26" s="164">
        <v>2</v>
      </c>
      <c r="BA26" s="164">
        <v>3</v>
      </c>
      <c r="BB26" s="164">
        <v>1</v>
      </c>
      <c r="BC26" s="164">
        <v>2</v>
      </c>
      <c r="BD26" s="164">
        <v>3</v>
      </c>
      <c r="BE26" s="164">
        <v>4</v>
      </c>
      <c r="BF26" s="8"/>
      <c r="BG26" s="8"/>
      <c r="BH26" s="8"/>
      <c r="BI26" s="8"/>
      <c r="BJ26" s="8"/>
      <c r="BK26" s="8"/>
      <c r="BL26" s="8"/>
      <c r="BM26" s="8"/>
      <c r="BN26" s="8"/>
      <c r="BO26" s="8"/>
    </row>
    <row r="27" spans="1:67" ht="27" customHeight="1" outlineLevel="1">
      <c r="A27" s="79" t="e">
        <f>#REF!</f>
        <v>#REF!</v>
      </c>
      <c r="B27" s="80" t="e">
        <f>#REF!</f>
        <v>#REF!</v>
      </c>
      <c r="C27" s="85" t="e">
        <f t="shared" si="2"/>
        <v>#REF!</v>
      </c>
      <c r="D27" s="85" t="e">
        <f t="shared" si="2"/>
        <v>#REF!</v>
      </c>
      <c r="E27" s="85" t="e">
        <f>#REF!</f>
        <v>#REF!</v>
      </c>
      <c r="F27" s="92" t="e">
        <f t="shared" si="1"/>
        <v>#REF!</v>
      </c>
      <c r="G27" s="23"/>
      <c r="H27" s="8"/>
      <c r="I27" s="8"/>
      <c r="J27" s="8"/>
      <c r="K27" s="8"/>
      <c r="L27" s="8"/>
      <c r="M27" s="8"/>
      <c r="N27" s="8"/>
      <c r="O27" s="8"/>
      <c r="P27" s="164">
        <v>1</v>
      </c>
      <c r="Q27" s="164">
        <v>2</v>
      </c>
      <c r="R27" s="164">
        <v>3</v>
      </c>
      <c r="S27" s="164">
        <v>1</v>
      </c>
      <c r="T27" s="164">
        <v>2</v>
      </c>
      <c r="U27" s="164">
        <v>3</v>
      </c>
      <c r="V27" s="164">
        <v>4</v>
      </c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</row>
    <row r="28" spans="1:67" ht="27" customHeight="1" outlineLevel="1">
      <c r="A28" s="79" t="e">
        <f>#REF!</f>
        <v>#REF!</v>
      </c>
      <c r="B28" s="80" t="e">
        <f>#REF!</f>
        <v>#REF!</v>
      </c>
      <c r="C28" s="85" t="e">
        <f t="shared" si="2"/>
        <v>#REF!</v>
      </c>
      <c r="D28" s="85" t="e">
        <f t="shared" si="2"/>
        <v>#REF!</v>
      </c>
      <c r="E28" s="85" t="e">
        <f>#REF!</f>
        <v>#REF!</v>
      </c>
      <c r="F28" s="179"/>
      <c r="G28" s="23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164">
        <v>1</v>
      </c>
      <c r="X28" s="164">
        <v>2</v>
      </c>
      <c r="Y28" s="164">
        <v>3</v>
      </c>
      <c r="Z28" s="164">
        <v>1</v>
      </c>
      <c r="AA28" s="164">
        <v>2</v>
      </c>
      <c r="AB28" s="164">
        <v>3</v>
      </c>
      <c r="AC28" s="164">
        <v>4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</row>
    <row r="29" spans="1:67" ht="36" customHeight="1" outlineLevel="1">
      <c r="A29" s="79" t="e">
        <f>#REF!</f>
        <v>#REF!</v>
      </c>
      <c r="B29" s="80" t="e">
        <f>#REF!</f>
        <v>#REF!</v>
      </c>
      <c r="C29" s="85" t="e">
        <f t="shared" si="2"/>
        <v>#REF!</v>
      </c>
      <c r="D29" s="85" t="e">
        <f t="shared" si="2"/>
        <v>#REF!</v>
      </c>
      <c r="E29" s="85" t="e">
        <f>#REF!</f>
        <v>#REF!</v>
      </c>
      <c r="F29" s="179"/>
      <c r="G29" s="23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164">
        <v>1</v>
      </c>
      <c r="AE29" s="164">
        <v>2</v>
      </c>
      <c r="AF29" s="164">
        <v>3</v>
      </c>
      <c r="AG29" s="164">
        <v>1</v>
      </c>
      <c r="AH29" s="164">
        <v>2</v>
      </c>
      <c r="AI29" s="164">
        <v>3</v>
      </c>
      <c r="AJ29" s="164">
        <v>4</v>
      </c>
      <c r="AK29" s="164">
        <v>5</v>
      </c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</row>
    <row r="30" spans="1:67" ht="27" customHeight="1" outlineLevel="1">
      <c r="A30" s="79" t="e">
        <f>#REF!</f>
        <v>#REF!</v>
      </c>
      <c r="B30" s="80" t="e">
        <f>#REF!</f>
        <v>#REF!</v>
      </c>
      <c r="C30" s="85" t="e">
        <f t="shared" si="2"/>
        <v>#REF!</v>
      </c>
      <c r="D30" s="85" t="e">
        <f t="shared" si="2"/>
        <v>#REF!</v>
      </c>
      <c r="E30" s="85" t="e">
        <f>#REF!</f>
        <v>#REF!</v>
      </c>
      <c r="F30" s="179"/>
      <c r="G30" s="23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164">
        <v>1</v>
      </c>
      <c r="AM30" s="164">
        <v>2</v>
      </c>
      <c r="AN30" s="164">
        <v>3</v>
      </c>
      <c r="AO30" s="164">
        <v>1</v>
      </c>
      <c r="AP30" s="164">
        <v>2</v>
      </c>
      <c r="AQ30" s="164">
        <v>3</v>
      </c>
      <c r="AR30" s="164">
        <v>4</v>
      </c>
      <c r="AS30" s="164">
        <v>5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</row>
    <row r="31" spans="1:67" ht="27" customHeight="1" outlineLevel="1">
      <c r="A31" s="79" t="e">
        <f>#REF!</f>
        <v>#REF!</v>
      </c>
      <c r="B31" s="80" t="e">
        <f>#REF!</f>
        <v>#REF!</v>
      </c>
      <c r="C31" s="85" t="e">
        <f t="shared" si="2"/>
        <v>#REF!</v>
      </c>
      <c r="D31" s="85" t="e">
        <f t="shared" si="2"/>
        <v>#REF!</v>
      </c>
      <c r="E31" s="85" t="e">
        <f>#REF!</f>
        <v>#REF!</v>
      </c>
      <c r="F31" s="179"/>
      <c r="G31" s="23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164">
        <v>1</v>
      </c>
      <c r="AU31" s="164">
        <v>2</v>
      </c>
      <c r="AV31" s="164">
        <v>3</v>
      </c>
      <c r="AW31" s="164">
        <v>1</v>
      </c>
      <c r="AX31" s="164">
        <v>2</v>
      </c>
      <c r="AY31" s="164">
        <v>3</v>
      </c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</row>
    <row r="32" spans="1:67" ht="27" customHeight="1" outlineLevel="1">
      <c r="A32" s="79" t="e">
        <f>#REF!</f>
        <v>#REF!</v>
      </c>
      <c r="B32" s="80" t="e">
        <f>#REF!</f>
        <v>#REF!</v>
      </c>
      <c r="C32" s="85" t="e">
        <f t="shared" si="2"/>
        <v>#REF!</v>
      </c>
      <c r="D32" s="85" t="e">
        <f t="shared" si="2"/>
        <v>#REF!</v>
      </c>
      <c r="E32" s="85" t="e">
        <f>#REF!</f>
        <v>#REF!</v>
      </c>
      <c r="F32" s="179"/>
      <c r="G32" s="23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164">
        <v>1</v>
      </c>
      <c r="AU32" s="164">
        <v>2</v>
      </c>
      <c r="AV32" s="164">
        <v>3</v>
      </c>
      <c r="AW32" s="164">
        <v>1</v>
      </c>
      <c r="AX32" s="164">
        <v>2</v>
      </c>
      <c r="AY32" s="164">
        <v>3</v>
      </c>
      <c r="AZ32" s="164">
        <v>4</v>
      </c>
      <c r="BA32" s="164">
        <v>5</v>
      </c>
      <c r="BB32" s="164">
        <v>6</v>
      </c>
      <c r="BC32" s="164">
        <v>7</v>
      </c>
      <c r="BD32" s="164">
        <v>8</v>
      </c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</row>
    <row r="33" spans="1:67" ht="27" hidden="1" customHeight="1" outlineLevel="1">
      <c r="A33" s="1103" t="e">
        <f>#REF!</f>
        <v>#REF!</v>
      </c>
      <c r="B33" s="1158" t="e">
        <f>#REF!</f>
        <v>#REF!</v>
      </c>
      <c r="C33" s="88"/>
      <c r="D33" s="89"/>
      <c r="E33" s="1160"/>
      <c r="F33" s="90"/>
      <c r="G33" s="23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255"/>
      <c r="AM33" s="255"/>
      <c r="AN33" s="255"/>
      <c r="AO33" s="255"/>
      <c r="AP33" s="255"/>
      <c r="AQ33" s="255"/>
      <c r="AR33" s="255"/>
      <c r="AS33" s="255"/>
      <c r="AT33" s="255"/>
      <c r="AU33" s="255"/>
      <c r="AV33" s="255"/>
      <c r="AW33" s="255"/>
      <c r="AX33" s="255"/>
      <c r="AY33" s="255"/>
      <c r="AZ33" s="255"/>
      <c r="BA33" s="255"/>
      <c r="BB33" s="255"/>
      <c r="BC33" s="255"/>
      <c r="BD33" s="255"/>
      <c r="BE33" s="255"/>
      <c r="BF33" s="255"/>
      <c r="BG33" s="255"/>
      <c r="BH33" s="255"/>
      <c r="BI33" s="255"/>
      <c r="BJ33" s="255"/>
      <c r="BK33" s="255"/>
      <c r="BL33" s="255"/>
      <c r="BM33" s="255"/>
      <c r="BN33" s="255"/>
      <c r="BO33" s="255"/>
    </row>
    <row r="34" spans="1:67" ht="37.5" customHeight="1" outlineLevel="1">
      <c r="A34" s="79" t="e">
        <f>#REF!</f>
        <v>#REF!</v>
      </c>
      <c r="B34" s="80" t="e">
        <f>#REF!</f>
        <v>#REF!</v>
      </c>
      <c r="C34" s="85" t="e">
        <f>IF($E34=0,0,3)</f>
        <v>#REF!</v>
      </c>
      <c r="D34" s="85" t="e">
        <f>IF($E34=0,0,3)</f>
        <v>#REF!</v>
      </c>
      <c r="E34" s="85" t="e">
        <f>#REF!</f>
        <v>#REF!</v>
      </c>
      <c r="F34" s="92" t="e">
        <f t="shared" si="1"/>
        <v>#REF!</v>
      </c>
      <c r="G34" s="23"/>
      <c r="H34" s="93"/>
      <c r="I34" s="93"/>
      <c r="J34" s="93"/>
      <c r="K34" s="93"/>
      <c r="L34" s="93"/>
      <c r="M34" s="93"/>
      <c r="N34" s="93"/>
      <c r="O34" s="93"/>
      <c r="P34" s="93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163">
        <v>1</v>
      </c>
      <c r="AM34" s="163">
        <v>2</v>
      </c>
      <c r="AN34" s="163">
        <v>3</v>
      </c>
      <c r="AO34" s="163">
        <v>1</v>
      </c>
      <c r="AP34" s="163">
        <v>2</v>
      </c>
      <c r="AQ34" s="163">
        <v>3</v>
      </c>
      <c r="AR34" s="164">
        <v>4</v>
      </c>
      <c r="AS34" s="163">
        <v>5</v>
      </c>
      <c r="AT34" s="163">
        <v>6</v>
      </c>
      <c r="AU34" s="163">
        <v>7</v>
      </c>
      <c r="AV34" s="164">
        <v>8</v>
      </c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</row>
    <row r="35" spans="1:67" ht="27" customHeight="1" outlineLevel="1">
      <c r="A35" s="79" t="e">
        <f>#REF!</f>
        <v>#REF!</v>
      </c>
      <c r="B35" s="80" t="e">
        <f>#REF!</f>
        <v>#REF!</v>
      </c>
      <c r="C35" s="85" t="e">
        <f t="shared" ref="C35:D38" si="3">IF($E35=0,0,3)</f>
        <v>#REF!</v>
      </c>
      <c r="D35" s="85" t="e">
        <f>IF($E35=0,0,3)</f>
        <v>#REF!</v>
      </c>
      <c r="E35" s="85" t="e">
        <f>#REF!</f>
        <v>#REF!</v>
      </c>
      <c r="F35" s="92" t="e">
        <f t="shared" si="1"/>
        <v>#REF!</v>
      </c>
      <c r="G35" s="23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163">
        <v>1</v>
      </c>
      <c r="AM35" s="163">
        <v>2</v>
      </c>
      <c r="AN35" s="163">
        <v>3</v>
      </c>
      <c r="AO35" s="163">
        <v>1</v>
      </c>
      <c r="AP35" s="163">
        <v>2</v>
      </c>
      <c r="AQ35" s="163">
        <v>3</v>
      </c>
      <c r="AR35" s="164">
        <v>4</v>
      </c>
      <c r="AS35" s="163">
        <v>5</v>
      </c>
      <c r="AT35" s="163">
        <v>6</v>
      </c>
      <c r="AU35" s="163">
        <v>7</v>
      </c>
      <c r="AV35" s="164">
        <v>8</v>
      </c>
      <c r="AW35" s="163">
        <v>9</v>
      </c>
      <c r="AX35" s="163">
        <v>10</v>
      </c>
      <c r="AY35" s="163">
        <v>11</v>
      </c>
      <c r="AZ35" s="164">
        <v>12</v>
      </c>
      <c r="BA35" s="163">
        <v>13</v>
      </c>
      <c r="BB35" s="163">
        <v>14</v>
      </c>
      <c r="BC35" s="163">
        <v>15</v>
      </c>
      <c r="BD35" s="164">
        <v>16</v>
      </c>
      <c r="BE35" s="163">
        <v>17</v>
      </c>
      <c r="BF35" s="163">
        <v>18</v>
      </c>
      <c r="BG35" s="163">
        <v>19</v>
      </c>
      <c r="BH35" s="8"/>
      <c r="BI35" s="8"/>
      <c r="BJ35" s="8"/>
      <c r="BK35" s="8"/>
      <c r="BL35" s="8"/>
      <c r="BM35" s="8"/>
      <c r="BN35" s="8"/>
      <c r="BO35" s="8"/>
    </row>
    <row r="36" spans="1:67" ht="27" customHeight="1" outlineLevel="1">
      <c r="A36" s="79" t="e">
        <f>#REF!</f>
        <v>#REF!</v>
      </c>
      <c r="B36" s="80" t="e">
        <f>#REF!</f>
        <v>#REF!</v>
      </c>
      <c r="C36" s="85" t="e">
        <f t="shared" si="3"/>
        <v>#REF!</v>
      </c>
      <c r="D36" s="85" t="e">
        <f t="shared" si="3"/>
        <v>#REF!</v>
      </c>
      <c r="E36" s="85" t="e">
        <f>#REF!</f>
        <v>#REF!</v>
      </c>
      <c r="F36" s="92" t="e">
        <f t="shared" si="1"/>
        <v>#REF!</v>
      </c>
      <c r="G36" s="23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163">
        <v>1</v>
      </c>
      <c r="AM36" s="163">
        <v>2</v>
      </c>
      <c r="AN36" s="163">
        <v>3</v>
      </c>
      <c r="AO36" s="163">
        <v>1</v>
      </c>
      <c r="AP36" s="163">
        <v>2</v>
      </c>
      <c r="AQ36" s="163">
        <v>3</v>
      </c>
      <c r="AR36" s="164">
        <v>4</v>
      </c>
      <c r="AS36" s="163">
        <v>5</v>
      </c>
      <c r="AT36" s="163">
        <v>6</v>
      </c>
      <c r="AU36" s="163">
        <v>7</v>
      </c>
      <c r="AV36" s="164">
        <v>8</v>
      </c>
      <c r="AW36" s="163">
        <v>9</v>
      </c>
      <c r="AX36" s="163">
        <v>10</v>
      </c>
      <c r="AY36" s="163">
        <v>11</v>
      </c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</row>
    <row r="37" spans="1:67" ht="27" customHeight="1" outlineLevel="1">
      <c r="A37" s="79" t="e">
        <f>#REF!</f>
        <v>#REF!</v>
      </c>
      <c r="B37" s="80" t="e">
        <f>#REF!</f>
        <v>#REF!</v>
      </c>
      <c r="C37" s="85" t="e">
        <f t="shared" si="3"/>
        <v>#REF!</v>
      </c>
      <c r="D37" s="85" t="e">
        <f t="shared" si="3"/>
        <v>#REF!</v>
      </c>
      <c r="E37" s="85" t="e">
        <f>#REF!</f>
        <v>#REF!</v>
      </c>
      <c r="F37" s="92" t="e">
        <f t="shared" si="1"/>
        <v>#REF!</v>
      </c>
      <c r="G37" s="23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164">
        <v>1</v>
      </c>
      <c r="AT37" s="164">
        <v>2</v>
      </c>
      <c r="AU37" s="164">
        <v>3</v>
      </c>
      <c r="AV37" s="164">
        <v>1</v>
      </c>
      <c r="AW37" s="164">
        <v>2</v>
      </c>
      <c r="AX37" s="164">
        <v>3</v>
      </c>
      <c r="AY37" s="164">
        <v>4</v>
      </c>
      <c r="AZ37" s="164">
        <v>5</v>
      </c>
      <c r="BA37" s="164">
        <v>6</v>
      </c>
      <c r="BB37" s="164">
        <v>7</v>
      </c>
      <c r="BC37" s="164">
        <v>8</v>
      </c>
      <c r="BD37" s="164">
        <v>9</v>
      </c>
      <c r="BE37" s="164">
        <v>10</v>
      </c>
      <c r="BF37" s="164">
        <v>11</v>
      </c>
      <c r="BG37" s="164">
        <v>12</v>
      </c>
      <c r="BH37" s="164">
        <v>13</v>
      </c>
      <c r="BI37" s="164">
        <v>14</v>
      </c>
      <c r="BJ37" s="164">
        <v>15</v>
      </c>
      <c r="BK37" s="164">
        <v>16</v>
      </c>
      <c r="BL37" s="164">
        <v>17</v>
      </c>
      <c r="BM37" s="164">
        <v>18</v>
      </c>
      <c r="BN37" s="8"/>
      <c r="BO37" s="8"/>
    </row>
    <row r="38" spans="1:67" ht="36" customHeight="1" outlineLevel="1">
      <c r="A38" s="79" t="e">
        <f>#REF!</f>
        <v>#REF!</v>
      </c>
      <c r="B38" s="80" t="e">
        <f>#REF!</f>
        <v>#REF!</v>
      </c>
      <c r="C38" s="85" t="e">
        <f t="shared" si="3"/>
        <v>#REF!</v>
      </c>
      <c r="D38" s="85" t="e">
        <f t="shared" si="3"/>
        <v>#REF!</v>
      </c>
      <c r="E38" s="152" t="e">
        <f>#REF!</f>
        <v>#REF!</v>
      </c>
      <c r="F38" s="179"/>
      <c r="G38" s="23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164">
        <v>1</v>
      </c>
      <c r="BK38" s="164">
        <v>2</v>
      </c>
      <c r="BL38" s="164">
        <v>3</v>
      </c>
      <c r="BM38" s="164">
        <v>1</v>
      </c>
      <c r="BN38" s="164">
        <v>2</v>
      </c>
      <c r="BO38" s="164">
        <v>3</v>
      </c>
    </row>
    <row r="39" spans="1:67" ht="27" hidden="1" customHeight="1" outlineLevel="1">
      <c r="A39" s="1108" t="e">
        <f>#REF!</f>
        <v>#REF!</v>
      </c>
      <c r="B39" s="1158" t="e">
        <f>#REF!</f>
        <v>#REF!</v>
      </c>
      <c r="C39" s="88"/>
      <c r="D39" s="89"/>
      <c r="E39" s="1160"/>
      <c r="F39" s="90"/>
      <c r="G39" s="23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</row>
    <row r="40" spans="1:67" ht="27" customHeight="1" outlineLevel="1">
      <c r="A40" s="79" t="e">
        <f>#REF!</f>
        <v>#REF!</v>
      </c>
      <c r="B40" s="80" t="e">
        <f>#REF!</f>
        <v>#REF!</v>
      </c>
      <c r="C40" s="85" t="e">
        <f t="shared" ref="C40:D43" si="4">IF($E40=0,0,3)</f>
        <v>#REF!</v>
      </c>
      <c r="D40" s="85" t="e">
        <f t="shared" si="4"/>
        <v>#REF!</v>
      </c>
      <c r="E40" s="85" t="e">
        <f>#REF!</f>
        <v>#REF!</v>
      </c>
      <c r="F40" s="92" t="e">
        <f t="shared" si="1"/>
        <v>#REF!</v>
      </c>
      <c r="G40" s="23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164">
        <v>1</v>
      </c>
      <c r="AX40" s="164">
        <v>2</v>
      </c>
      <c r="AY40" s="164">
        <v>3</v>
      </c>
      <c r="AZ40" s="164">
        <v>1</v>
      </c>
      <c r="BA40" s="164">
        <v>2</v>
      </c>
      <c r="BB40" s="164">
        <v>3</v>
      </c>
      <c r="BC40" s="164">
        <v>4</v>
      </c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</row>
    <row r="41" spans="1:67" ht="27" customHeight="1" outlineLevel="1">
      <c r="A41" s="79" t="e">
        <f>#REF!</f>
        <v>#REF!</v>
      </c>
      <c r="B41" s="80" t="e">
        <f>#REF!</f>
        <v>#REF!</v>
      </c>
      <c r="C41" s="85" t="e">
        <f t="shared" si="4"/>
        <v>#REF!</v>
      </c>
      <c r="D41" s="85" t="e">
        <f t="shared" si="4"/>
        <v>#REF!</v>
      </c>
      <c r="E41" s="85" t="e">
        <f>#REF!</f>
        <v>#REF!</v>
      </c>
      <c r="F41" s="92" t="e">
        <f t="shared" si="1"/>
        <v>#REF!</v>
      </c>
      <c r="G41" s="23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164">
        <v>1</v>
      </c>
      <c r="BJ41" s="164">
        <v>2</v>
      </c>
      <c r="BK41" s="164">
        <v>3</v>
      </c>
      <c r="BL41" s="164">
        <v>1</v>
      </c>
      <c r="BM41" s="164">
        <v>2</v>
      </c>
      <c r="BN41" s="164">
        <v>3</v>
      </c>
      <c r="BO41" s="164">
        <v>4</v>
      </c>
    </row>
    <row r="42" spans="1:67" ht="27" hidden="1" customHeight="1" outlineLevel="1">
      <c r="A42" s="79" t="e">
        <f>#REF!</f>
        <v>#REF!</v>
      </c>
      <c r="B42" s="80" t="e">
        <f>#REF!</f>
        <v>#REF!</v>
      </c>
      <c r="C42" s="85" t="e">
        <f t="shared" si="4"/>
        <v>#REF!</v>
      </c>
      <c r="D42" s="85" t="e">
        <f t="shared" si="4"/>
        <v>#REF!</v>
      </c>
      <c r="E42" s="85" t="e">
        <f>#REF!</f>
        <v>#REF!</v>
      </c>
      <c r="F42" s="92" t="e">
        <f t="shared" si="1"/>
        <v>#REF!</v>
      </c>
      <c r="G42" s="23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</row>
    <row r="43" spans="1:67" ht="27" hidden="1" customHeight="1" outlineLevel="1">
      <c r="A43" s="79" t="e">
        <f>#REF!</f>
        <v>#REF!</v>
      </c>
      <c r="B43" s="80" t="e">
        <f>#REF!</f>
        <v>#REF!</v>
      </c>
      <c r="C43" s="85" t="e">
        <f t="shared" si="4"/>
        <v>#REF!</v>
      </c>
      <c r="D43" s="85" t="e">
        <f t="shared" si="4"/>
        <v>#REF!</v>
      </c>
      <c r="E43" s="85" t="e">
        <f>#REF!</f>
        <v>#REF!</v>
      </c>
      <c r="F43" s="92" t="e">
        <f t="shared" si="1"/>
        <v>#REF!</v>
      </c>
      <c r="G43" s="23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</row>
    <row r="44" spans="1:67" ht="27" customHeight="1">
      <c r="A44" s="1110" t="e">
        <f>#REF!</f>
        <v>#REF!</v>
      </c>
      <c r="B44" s="1098" t="e">
        <f>#REF!</f>
        <v>#REF!</v>
      </c>
      <c r="C44" s="88"/>
      <c r="D44" s="89"/>
      <c r="E44" s="1160"/>
      <c r="F44" s="90"/>
      <c r="G44" s="23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</row>
    <row r="45" spans="1:67" ht="27" customHeight="1">
      <c r="A45" s="1103" t="e">
        <f>#REF!</f>
        <v>#REF!</v>
      </c>
      <c r="B45" s="1158" t="e">
        <f>#REF!</f>
        <v>#REF!</v>
      </c>
      <c r="C45" s="88"/>
      <c r="D45" s="89"/>
      <c r="E45" s="1160"/>
      <c r="F45" s="90"/>
      <c r="G45" s="23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</row>
    <row r="46" spans="1:67" ht="27" customHeight="1">
      <c r="A46" s="79" t="e">
        <f>#REF!</f>
        <v>#REF!</v>
      </c>
      <c r="B46" s="80" t="e">
        <f>#REF!</f>
        <v>#REF!</v>
      </c>
      <c r="C46" s="85" t="e">
        <f>IF($E46=0,0,3)</f>
        <v>#REF!</v>
      </c>
      <c r="D46" s="85" t="e">
        <f>IF($E46=0,0,3)</f>
        <v>#REF!</v>
      </c>
      <c r="E46" s="85" t="e">
        <f>#REF!</f>
        <v>#REF!</v>
      </c>
      <c r="F46" s="92" t="e">
        <f t="shared" si="1"/>
        <v>#REF!</v>
      </c>
      <c r="G46" s="23"/>
      <c r="H46" s="164">
        <v>1</v>
      </c>
      <c r="I46" s="164">
        <v>2</v>
      </c>
      <c r="J46" s="164">
        <v>3</v>
      </c>
      <c r="K46" s="164">
        <v>1</v>
      </c>
      <c r="L46" s="164">
        <v>2</v>
      </c>
      <c r="M46" s="164">
        <v>3</v>
      </c>
      <c r="N46" s="164">
        <v>4</v>
      </c>
      <c r="O46" s="164">
        <v>5</v>
      </c>
      <c r="P46" s="164">
        <v>6</v>
      </c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</row>
    <row r="47" spans="1:67" ht="27" customHeight="1">
      <c r="A47" s="79" t="e">
        <f>#REF!</f>
        <v>#REF!</v>
      </c>
      <c r="B47" s="80" t="e">
        <f>#REF!</f>
        <v>#REF!</v>
      </c>
      <c r="C47" s="85" t="e">
        <f>IF($E47=0,0,3)</f>
        <v>#REF!</v>
      </c>
      <c r="D47" s="85" t="e">
        <f>IF($E47=0,0,3)</f>
        <v>#REF!</v>
      </c>
      <c r="E47" s="85" t="e">
        <f>#REF!</f>
        <v>#REF!</v>
      </c>
      <c r="F47" s="92" t="e">
        <f t="shared" si="1"/>
        <v>#REF!</v>
      </c>
      <c r="G47" s="23"/>
      <c r="H47" s="8"/>
      <c r="I47" s="8"/>
      <c r="J47" s="8"/>
      <c r="K47" s="8"/>
      <c r="L47" s="8"/>
      <c r="M47" s="8"/>
      <c r="N47" s="8"/>
      <c r="O47" s="164">
        <v>1</v>
      </c>
      <c r="P47" s="164">
        <v>2</v>
      </c>
      <c r="Q47" s="164">
        <v>3</v>
      </c>
      <c r="R47" s="164">
        <v>1</v>
      </c>
      <c r="S47" s="164">
        <v>2</v>
      </c>
      <c r="T47" s="164">
        <v>3</v>
      </c>
      <c r="U47" s="164">
        <v>4</v>
      </c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</row>
    <row r="48" spans="1:67" ht="27" customHeight="1">
      <c r="A48" s="1103" t="e">
        <f>#REF!</f>
        <v>#REF!</v>
      </c>
      <c r="B48" s="1158" t="e">
        <f>#REF!</f>
        <v>#REF!</v>
      </c>
      <c r="C48" s="88"/>
      <c r="D48" s="89"/>
      <c r="E48" s="1160"/>
      <c r="F48" s="90"/>
      <c r="G48" s="23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</row>
    <row r="49" spans="1:67" ht="45.75" customHeight="1">
      <c r="A49" s="79" t="e">
        <f>#REF!</f>
        <v>#REF!</v>
      </c>
      <c r="B49" s="80" t="e">
        <f>#REF!</f>
        <v>#REF!</v>
      </c>
      <c r="C49" s="85" t="e">
        <f t="shared" ref="C49:D51" si="5">IF($E49=0,0,3)</f>
        <v>#REF!</v>
      </c>
      <c r="D49" s="85" t="e">
        <f t="shared" si="5"/>
        <v>#REF!</v>
      </c>
      <c r="E49" s="85" t="e">
        <f>#REF!</f>
        <v>#REF!</v>
      </c>
      <c r="F49" s="92" t="e">
        <f t="shared" si="1"/>
        <v>#REF!</v>
      </c>
      <c r="G49" s="23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164">
        <v>1</v>
      </c>
      <c r="W49" s="164">
        <v>2</v>
      </c>
      <c r="X49" s="164">
        <v>3</v>
      </c>
      <c r="Y49" s="164">
        <v>1</v>
      </c>
      <c r="Z49" s="164">
        <v>2</v>
      </c>
      <c r="AA49" s="164">
        <v>3</v>
      </c>
      <c r="AB49" s="164">
        <v>4</v>
      </c>
      <c r="AC49" s="164">
        <v>5</v>
      </c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</row>
    <row r="50" spans="1:67" ht="36.75" customHeight="1">
      <c r="A50" s="79" t="e">
        <f>#REF!</f>
        <v>#REF!</v>
      </c>
      <c r="B50" s="80" t="e">
        <f>#REF!</f>
        <v>#REF!</v>
      </c>
      <c r="C50" s="85" t="e">
        <f t="shared" si="5"/>
        <v>#REF!</v>
      </c>
      <c r="D50" s="85" t="e">
        <f t="shared" si="5"/>
        <v>#REF!</v>
      </c>
      <c r="E50" s="85" t="e">
        <f>#REF!</f>
        <v>#REF!</v>
      </c>
      <c r="F50" s="92" t="e">
        <f t="shared" si="1"/>
        <v>#REF!</v>
      </c>
      <c r="G50" s="23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164">
        <v>1</v>
      </c>
      <c r="AE50" s="164">
        <v>2</v>
      </c>
      <c r="AF50" s="164">
        <v>3</v>
      </c>
      <c r="AG50" s="164">
        <v>1</v>
      </c>
      <c r="AH50" s="164">
        <v>2</v>
      </c>
      <c r="AI50" s="164">
        <v>3</v>
      </c>
      <c r="AJ50" s="164">
        <v>4</v>
      </c>
      <c r="AK50" s="164">
        <v>5</v>
      </c>
      <c r="AL50" s="164">
        <v>6</v>
      </c>
      <c r="AM50" s="164">
        <v>7</v>
      </c>
      <c r="AN50" s="164">
        <v>8</v>
      </c>
      <c r="AO50" s="164">
        <v>9</v>
      </c>
      <c r="AP50" s="164">
        <v>10</v>
      </c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</row>
    <row r="51" spans="1:67">
      <c r="A51" s="79" t="e">
        <f>#REF!</f>
        <v>#REF!</v>
      </c>
      <c r="B51" s="80" t="e">
        <f>#REF!</f>
        <v>#REF!</v>
      </c>
      <c r="C51" s="85" t="e">
        <f t="shared" si="5"/>
        <v>#REF!</v>
      </c>
      <c r="D51" s="85" t="e">
        <f t="shared" si="5"/>
        <v>#REF!</v>
      </c>
      <c r="E51" s="85" t="e">
        <f>#REF!</f>
        <v>#REF!</v>
      </c>
      <c r="F51" s="92" t="e">
        <f t="shared" si="1"/>
        <v>#REF!</v>
      </c>
      <c r="G51" s="23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164">
        <v>1</v>
      </c>
      <c r="AE51" s="164">
        <v>2</v>
      </c>
      <c r="AF51" s="164">
        <v>3</v>
      </c>
      <c r="AG51" s="164">
        <v>1</v>
      </c>
      <c r="AH51" s="164">
        <v>2</v>
      </c>
      <c r="AI51" s="164">
        <v>3</v>
      </c>
      <c r="AJ51" s="164">
        <v>4</v>
      </c>
      <c r="AK51" s="164">
        <v>5</v>
      </c>
      <c r="AL51" s="164">
        <v>6</v>
      </c>
      <c r="AM51" s="164">
        <v>7</v>
      </c>
      <c r="AN51" s="164">
        <v>8</v>
      </c>
      <c r="AO51" s="164">
        <v>9</v>
      </c>
      <c r="AP51" s="164">
        <v>10</v>
      </c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</row>
    <row r="52" spans="1:67" ht="27" customHeight="1">
      <c r="A52" s="1103" t="e">
        <f>#REF!</f>
        <v>#REF!</v>
      </c>
      <c r="B52" s="1158" t="e">
        <f>#REF!</f>
        <v>#REF!</v>
      </c>
      <c r="C52" s="88"/>
      <c r="D52" s="89"/>
      <c r="E52" s="1160"/>
      <c r="F52" s="90"/>
      <c r="G52" s="23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</row>
    <row r="53" spans="1:67" ht="36" customHeight="1">
      <c r="A53" s="79" t="e">
        <f>#REF!</f>
        <v>#REF!</v>
      </c>
      <c r="B53" s="80" t="e">
        <f>#REF!</f>
        <v>#REF!</v>
      </c>
      <c r="C53" s="85" t="e">
        <f t="shared" ref="C53:D55" si="6">IF($E53=0,0,3)</f>
        <v>#REF!</v>
      </c>
      <c r="D53" s="85" t="e">
        <f t="shared" si="6"/>
        <v>#REF!</v>
      </c>
      <c r="E53" s="85" t="e">
        <f>#REF!</f>
        <v>#REF!</v>
      </c>
      <c r="F53" s="92" t="e">
        <f t="shared" si="1"/>
        <v>#REF!</v>
      </c>
      <c r="G53" s="23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164">
        <v>1</v>
      </c>
      <c r="Z53" s="164">
        <v>2</v>
      </c>
      <c r="AA53" s="164">
        <v>3</v>
      </c>
      <c r="AB53" s="164">
        <v>1</v>
      </c>
      <c r="AC53" s="164">
        <v>2</v>
      </c>
      <c r="AD53" s="164">
        <v>3</v>
      </c>
      <c r="AE53" s="164">
        <v>4</v>
      </c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</row>
    <row r="54" spans="1:67" ht="37.5" customHeight="1">
      <c r="A54" s="79" t="e">
        <f>#REF!</f>
        <v>#REF!</v>
      </c>
      <c r="B54" s="80" t="e">
        <f>#REF!</f>
        <v>#REF!</v>
      </c>
      <c r="C54" s="85" t="e">
        <f t="shared" si="6"/>
        <v>#REF!</v>
      </c>
      <c r="D54" s="85" t="e">
        <f t="shared" si="6"/>
        <v>#REF!</v>
      </c>
      <c r="E54" s="85" t="e">
        <f>#REF!</f>
        <v>#REF!</v>
      </c>
      <c r="F54" s="92" t="e">
        <f t="shared" si="1"/>
        <v>#REF!</v>
      </c>
      <c r="G54" s="23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164">
        <v>1</v>
      </c>
      <c r="AF54" s="164">
        <v>2</v>
      </c>
      <c r="AG54" s="164">
        <v>3</v>
      </c>
      <c r="AH54" s="164">
        <v>1</v>
      </c>
      <c r="AI54" s="164">
        <v>2</v>
      </c>
      <c r="AJ54" s="164">
        <v>3</v>
      </c>
      <c r="AK54" s="164">
        <v>4</v>
      </c>
      <c r="AL54" s="164">
        <v>5</v>
      </c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</row>
    <row r="55" spans="1:67" ht="27" customHeight="1">
      <c r="A55" s="79" t="e">
        <f>#REF!</f>
        <v>#REF!</v>
      </c>
      <c r="B55" s="80" t="e">
        <f>#REF!</f>
        <v>#REF!</v>
      </c>
      <c r="C55" s="85" t="e">
        <f t="shared" si="6"/>
        <v>#REF!</v>
      </c>
      <c r="D55" s="85" t="e">
        <f t="shared" si="6"/>
        <v>#REF!</v>
      </c>
      <c r="E55" s="85" t="e">
        <f>#REF!</f>
        <v>#REF!</v>
      </c>
      <c r="F55" s="92" t="e">
        <f t="shared" si="1"/>
        <v>#REF!</v>
      </c>
      <c r="G55" s="23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164">
        <v>1</v>
      </c>
      <c r="AE55" s="164">
        <v>2</v>
      </c>
      <c r="AF55" s="164">
        <v>3</v>
      </c>
      <c r="AG55" s="164">
        <v>1</v>
      </c>
      <c r="AH55" s="164">
        <v>2</v>
      </c>
      <c r="AI55" s="164">
        <v>3</v>
      </c>
      <c r="AJ55" s="164">
        <v>4</v>
      </c>
      <c r="AK55" s="164">
        <v>5</v>
      </c>
      <c r="AL55" s="164">
        <v>6</v>
      </c>
      <c r="AM55" s="164">
        <v>7</v>
      </c>
      <c r="AN55" s="164">
        <v>8</v>
      </c>
      <c r="AO55" s="164">
        <v>9</v>
      </c>
      <c r="AP55" s="164">
        <v>10</v>
      </c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</row>
    <row r="56" spans="1:67" ht="27" customHeight="1">
      <c r="A56" s="1103" t="e">
        <f>#REF!</f>
        <v>#REF!</v>
      </c>
      <c r="B56" s="1104" t="e">
        <f>#REF!</f>
        <v>#REF!</v>
      </c>
      <c r="C56" s="88"/>
      <c r="D56" s="89"/>
      <c r="E56" s="1157"/>
      <c r="F56" s="179"/>
      <c r="G56" s="23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</row>
    <row r="57" spans="1:67" ht="27" customHeight="1">
      <c r="A57" s="79" t="e">
        <f>#REF!</f>
        <v>#REF!</v>
      </c>
      <c r="B57" s="80" t="e">
        <f>#REF!</f>
        <v>#REF!</v>
      </c>
      <c r="C57" s="85" t="e">
        <f>IF($E57=0,0,3)</f>
        <v>#REF!</v>
      </c>
      <c r="D57" s="85" t="e">
        <f>IF($E57=0,0,3)</f>
        <v>#REF!</v>
      </c>
      <c r="E57" s="85" t="e">
        <f>#REF!</f>
        <v>#REF!</v>
      </c>
      <c r="F57" s="179"/>
      <c r="G57" s="23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164">
        <v>1</v>
      </c>
      <c r="AN57" s="164">
        <v>2</v>
      </c>
      <c r="AO57" s="164">
        <v>3</v>
      </c>
      <c r="AP57" s="164">
        <v>1</v>
      </c>
      <c r="AQ57" s="164">
        <v>2</v>
      </c>
      <c r="AR57" s="164">
        <v>3</v>
      </c>
      <c r="AS57" s="164">
        <v>4</v>
      </c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</row>
    <row r="58" spans="1:67" ht="27" customHeight="1">
      <c r="A58" s="79" t="e">
        <f>#REF!</f>
        <v>#REF!</v>
      </c>
      <c r="B58" s="80" t="e">
        <f>#REF!</f>
        <v>#REF!</v>
      </c>
      <c r="C58" s="85">
        <f>IF($E58=0,0,3)</f>
        <v>3</v>
      </c>
      <c r="D58" s="85">
        <f>IF($E58=0,0,3)</f>
        <v>3</v>
      </c>
      <c r="E58" s="85">
        <v>5</v>
      </c>
      <c r="F58" s="179"/>
      <c r="G58" s="23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164">
        <v>1</v>
      </c>
      <c r="AU58" s="164">
        <v>2</v>
      </c>
      <c r="AV58" s="164">
        <v>3</v>
      </c>
      <c r="AW58" s="164">
        <v>1</v>
      </c>
      <c r="AX58" s="164">
        <v>2</v>
      </c>
      <c r="AY58" s="164">
        <v>3</v>
      </c>
      <c r="AZ58" s="164">
        <v>4</v>
      </c>
      <c r="BA58" s="164">
        <v>5</v>
      </c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</row>
    <row r="59" spans="1:67" ht="27" customHeight="1">
      <c r="A59" s="1110" t="e">
        <f>#REF!</f>
        <v>#REF!</v>
      </c>
      <c r="B59" s="1155" t="e">
        <f>#REF!</f>
        <v>#REF!</v>
      </c>
      <c r="C59" s="88"/>
      <c r="D59" s="89"/>
      <c r="E59" s="1157"/>
      <c r="F59" s="90"/>
      <c r="G59" s="23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</row>
    <row r="60" spans="1:67" ht="27" customHeight="1">
      <c r="A60" s="1103" t="e">
        <f>#REF!</f>
        <v>#REF!</v>
      </c>
      <c r="B60" s="1158" t="e">
        <f>#REF!</f>
        <v>#REF!</v>
      </c>
      <c r="C60" s="88"/>
      <c r="D60" s="89"/>
      <c r="E60" s="1160"/>
      <c r="F60" s="90"/>
      <c r="G60" s="23"/>
      <c r="H60" s="8"/>
      <c r="I60" s="8"/>
      <c r="J60" s="8"/>
      <c r="K60" s="8"/>
      <c r="L60" s="255"/>
      <c r="M60" s="255"/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  <c r="Y60" s="255"/>
      <c r="Z60" s="255"/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</row>
    <row r="61" spans="1:67" ht="27" customHeight="1">
      <c r="A61" s="79" t="e">
        <f>#REF!</f>
        <v>#REF!</v>
      </c>
      <c r="B61" s="80" t="e">
        <f>#REF!</f>
        <v>#REF!</v>
      </c>
      <c r="C61" s="85" t="e">
        <f t="shared" ref="C61:D70" si="7">IF($E61=0,0,3)</f>
        <v>#REF!</v>
      </c>
      <c r="D61" s="85" t="e">
        <f t="shared" si="7"/>
        <v>#REF!</v>
      </c>
      <c r="E61" s="87" t="e">
        <f>#REF!</f>
        <v>#REF!</v>
      </c>
      <c r="F61" s="92" t="e">
        <f t="shared" si="1"/>
        <v>#REF!</v>
      </c>
      <c r="G61" s="23"/>
      <c r="H61" s="8"/>
      <c r="I61" s="8"/>
      <c r="J61" s="8"/>
      <c r="K61" s="8"/>
      <c r="L61" s="164">
        <v>1</v>
      </c>
      <c r="M61" s="164">
        <v>2</v>
      </c>
      <c r="N61" s="164">
        <v>3</v>
      </c>
      <c r="O61" s="164">
        <v>1</v>
      </c>
      <c r="P61" s="164">
        <v>2</v>
      </c>
      <c r="Q61" s="164">
        <v>3</v>
      </c>
      <c r="R61" s="164">
        <v>4</v>
      </c>
      <c r="S61" s="164">
        <v>5</v>
      </c>
      <c r="T61" s="164">
        <v>6</v>
      </c>
      <c r="U61" s="164">
        <v>7</v>
      </c>
      <c r="V61" s="164">
        <v>8</v>
      </c>
      <c r="W61" s="164">
        <v>9</v>
      </c>
      <c r="X61" s="164">
        <v>10</v>
      </c>
      <c r="Y61" s="164">
        <v>11</v>
      </c>
      <c r="Z61" s="164">
        <v>12</v>
      </c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</row>
    <row r="62" spans="1:67" ht="27" customHeight="1">
      <c r="A62" s="79" t="e">
        <f>#REF!</f>
        <v>#REF!</v>
      </c>
      <c r="B62" s="80" t="e">
        <f>#REF!</f>
        <v>#REF!</v>
      </c>
      <c r="C62" s="85" t="e">
        <f t="shared" si="7"/>
        <v>#REF!</v>
      </c>
      <c r="D62" s="85" t="e">
        <f t="shared" si="7"/>
        <v>#REF!</v>
      </c>
      <c r="E62" s="86" t="e">
        <f>#REF!</f>
        <v>#REF!</v>
      </c>
      <c r="F62" s="92" t="e">
        <f t="shared" si="1"/>
        <v>#REF!</v>
      </c>
      <c r="G62" s="23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164">
        <v>1</v>
      </c>
      <c r="AB62" s="164">
        <v>2</v>
      </c>
      <c r="AC62" s="164">
        <v>3</v>
      </c>
      <c r="AD62" s="164">
        <v>1</v>
      </c>
      <c r="AE62" s="164">
        <v>2</v>
      </c>
      <c r="AF62" s="164">
        <v>3</v>
      </c>
      <c r="AG62" s="164">
        <v>4</v>
      </c>
      <c r="AH62" s="164">
        <v>5</v>
      </c>
      <c r="AI62" s="164">
        <v>6</v>
      </c>
      <c r="AJ62" s="164">
        <v>7</v>
      </c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</row>
    <row r="63" spans="1:67" ht="27" customHeight="1">
      <c r="A63" s="1103" t="e">
        <f>#REF!</f>
        <v>#REF!</v>
      </c>
      <c r="B63" s="1158" t="e">
        <f>#REF!</f>
        <v>#REF!</v>
      </c>
      <c r="C63" s="88"/>
      <c r="D63" s="89"/>
      <c r="E63" s="1160"/>
      <c r="F63" s="90"/>
      <c r="G63" s="23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255"/>
      <c r="AB63" s="255"/>
      <c r="AC63" s="255"/>
      <c r="AD63" s="255"/>
      <c r="AE63" s="255"/>
      <c r="AF63" s="255"/>
      <c r="AG63" s="255"/>
      <c r="AH63" s="255"/>
      <c r="AI63" s="255"/>
      <c r="AJ63" s="255"/>
      <c r="AK63" s="255"/>
      <c r="AL63" s="255"/>
      <c r="AM63" s="255"/>
      <c r="AN63" s="255"/>
      <c r="AO63" s="255"/>
      <c r="AP63" s="255"/>
      <c r="AQ63" s="255"/>
      <c r="AR63" s="255"/>
      <c r="AS63" s="255"/>
      <c r="AT63" s="255"/>
      <c r="AU63" s="255"/>
      <c r="AV63" s="255"/>
      <c r="AW63" s="255"/>
      <c r="AX63" s="255"/>
      <c r="AY63" s="255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</row>
    <row r="64" spans="1:67" ht="27" customHeight="1">
      <c r="A64" s="79" t="e">
        <f>#REF!</f>
        <v>#REF!</v>
      </c>
      <c r="B64" s="80" t="e">
        <f>#REF!</f>
        <v>#REF!</v>
      </c>
      <c r="C64" s="85" t="e">
        <f>IF($E64=0,0,3)</f>
        <v>#REF!</v>
      </c>
      <c r="D64" s="85" t="e">
        <f t="shared" si="7"/>
        <v>#REF!</v>
      </c>
      <c r="E64" s="87" t="e">
        <f>#REF!</f>
        <v>#REF!</v>
      </c>
      <c r="F64" s="92" t="e">
        <f t="shared" si="1"/>
        <v>#REF!</v>
      </c>
      <c r="G64" s="23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164">
        <v>1</v>
      </c>
      <c r="AL64" s="164">
        <v>2</v>
      </c>
      <c r="AM64" s="164">
        <v>3</v>
      </c>
      <c r="AN64" s="164">
        <v>1</v>
      </c>
      <c r="AO64" s="164">
        <v>2</v>
      </c>
      <c r="AP64" s="164">
        <v>3</v>
      </c>
      <c r="AQ64" s="164">
        <v>4</v>
      </c>
      <c r="AR64" s="164">
        <v>5</v>
      </c>
      <c r="AS64" s="164">
        <v>6</v>
      </c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</row>
    <row r="65" spans="1:67" ht="27" customHeight="1">
      <c r="A65" s="79" t="e">
        <f>#REF!</f>
        <v>#REF!</v>
      </c>
      <c r="B65" s="80" t="e">
        <f>#REF!</f>
        <v>#REF!</v>
      </c>
      <c r="C65" s="85" t="e">
        <f>IF($E65=0,0,3)</f>
        <v>#REF!</v>
      </c>
      <c r="D65" s="85" t="e">
        <f t="shared" si="7"/>
        <v>#REF!</v>
      </c>
      <c r="E65" s="85" t="e">
        <f>#REF!</f>
        <v>#REF!</v>
      </c>
      <c r="F65" s="92" t="e">
        <f t="shared" si="1"/>
        <v>#REF!</v>
      </c>
      <c r="G65" s="23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164">
        <v>1</v>
      </c>
      <c r="AL65" s="164">
        <v>2</v>
      </c>
      <c r="AM65" s="164">
        <v>3</v>
      </c>
      <c r="AN65" s="164">
        <v>1</v>
      </c>
      <c r="AO65" s="164">
        <v>2</v>
      </c>
      <c r="AP65" s="164">
        <v>3</v>
      </c>
      <c r="AQ65" s="164">
        <v>4</v>
      </c>
      <c r="AR65" s="164">
        <v>5</v>
      </c>
      <c r="AS65" s="164">
        <v>6</v>
      </c>
      <c r="AT65" s="164">
        <v>7</v>
      </c>
      <c r="AU65" s="164">
        <v>8</v>
      </c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</row>
    <row r="66" spans="1:67" ht="27" customHeight="1">
      <c r="A66" s="79" t="e">
        <f>#REF!</f>
        <v>#REF!</v>
      </c>
      <c r="B66" s="80" t="e">
        <f>#REF!</f>
        <v>#REF!</v>
      </c>
      <c r="C66" s="85" t="e">
        <f>IF($E66=0,0,3)</f>
        <v>#REF!</v>
      </c>
      <c r="D66" s="85" t="e">
        <f t="shared" si="7"/>
        <v>#REF!</v>
      </c>
      <c r="E66" s="86" t="e">
        <f>#REF!</f>
        <v>#REF!</v>
      </c>
      <c r="F66" s="92" t="e">
        <f t="shared" si="1"/>
        <v>#REF!</v>
      </c>
      <c r="G66" s="23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164">
        <v>1</v>
      </c>
      <c r="AL66" s="164">
        <v>2</v>
      </c>
      <c r="AM66" s="164">
        <v>3</v>
      </c>
      <c r="AN66" s="164">
        <v>1</v>
      </c>
      <c r="AO66" s="164">
        <v>2</v>
      </c>
      <c r="AP66" s="164">
        <v>3</v>
      </c>
      <c r="AQ66" s="164">
        <v>4</v>
      </c>
      <c r="AR66" s="164">
        <v>5</v>
      </c>
      <c r="AS66" s="164">
        <v>6</v>
      </c>
      <c r="AT66" s="164">
        <v>7</v>
      </c>
      <c r="AU66" s="164">
        <v>8</v>
      </c>
      <c r="AV66" s="164">
        <v>9</v>
      </c>
      <c r="AW66" s="164">
        <v>10</v>
      </c>
      <c r="AX66" s="164">
        <v>11</v>
      </c>
      <c r="AY66" s="164">
        <v>12</v>
      </c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</row>
    <row r="67" spans="1:67" ht="27" customHeight="1">
      <c r="A67" s="1103" t="e">
        <f>#REF!</f>
        <v>#REF!</v>
      </c>
      <c r="B67" s="1158" t="e">
        <f>#REF!</f>
        <v>#REF!</v>
      </c>
      <c r="C67" s="88"/>
      <c r="D67" s="89"/>
      <c r="E67" s="1160"/>
      <c r="F67" s="90"/>
      <c r="G67" s="23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</row>
    <row r="68" spans="1:67" ht="27" customHeight="1">
      <c r="A68" s="79" t="e">
        <f>#REF!</f>
        <v>#REF!</v>
      </c>
      <c r="B68" s="80" t="e">
        <f>#REF!</f>
        <v>#REF!</v>
      </c>
      <c r="C68" s="85" t="e">
        <f>IF($E68=0,0,3)</f>
        <v>#REF!</v>
      </c>
      <c r="D68" s="85" t="e">
        <f t="shared" si="7"/>
        <v>#REF!</v>
      </c>
      <c r="E68" s="85" t="e">
        <f>#REF!</f>
        <v>#REF!</v>
      </c>
      <c r="F68" s="92" t="e">
        <f t="shared" si="1"/>
        <v>#REF!</v>
      </c>
      <c r="G68" s="23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164">
        <v>1</v>
      </c>
      <c r="AB68" s="164">
        <v>2</v>
      </c>
      <c r="AC68" s="164">
        <v>3</v>
      </c>
      <c r="AD68" s="164">
        <v>1</v>
      </c>
      <c r="AE68" s="164">
        <v>2</v>
      </c>
      <c r="AF68" s="164">
        <v>3</v>
      </c>
      <c r="AG68" s="164">
        <v>4</v>
      </c>
      <c r="AH68" s="164">
        <v>5</v>
      </c>
      <c r="AI68" s="164">
        <v>6</v>
      </c>
      <c r="AJ68" s="164">
        <v>7</v>
      </c>
      <c r="AK68" s="164">
        <v>8</v>
      </c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</row>
    <row r="69" spans="1:67" ht="27" customHeight="1">
      <c r="A69" s="79" t="e">
        <f>#REF!</f>
        <v>#REF!</v>
      </c>
      <c r="B69" s="80" t="e">
        <f>#REF!</f>
        <v>#REF!</v>
      </c>
      <c r="C69" s="85" t="e">
        <f>IF($E69=0,0,3)</f>
        <v>#REF!</v>
      </c>
      <c r="D69" s="85" t="e">
        <f t="shared" si="7"/>
        <v>#REF!</v>
      </c>
      <c r="E69" s="85" t="e">
        <f>#REF!</f>
        <v>#REF!</v>
      </c>
      <c r="F69" s="92" t="e">
        <f t="shared" si="1"/>
        <v>#REF!</v>
      </c>
      <c r="G69" s="23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164">
        <v>1</v>
      </c>
      <c r="AM69" s="164">
        <v>2</v>
      </c>
      <c r="AN69" s="164">
        <v>3</v>
      </c>
      <c r="AO69" s="164">
        <v>1</v>
      </c>
      <c r="AP69" s="164">
        <v>2</v>
      </c>
      <c r="AQ69" s="164">
        <v>3</v>
      </c>
      <c r="AR69" s="164">
        <v>4</v>
      </c>
      <c r="AS69" s="760"/>
      <c r="AT69" s="760"/>
      <c r="AU69" s="760"/>
      <c r="AV69" s="760"/>
      <c r="AW69" s="760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</row>
    <row r="70" spans="1:67" ht="27" customHeight="1">
      <c r="A70" s="79" t="e">
        <f>#REF!</f>
        <v>#REF!</v>
      </c>
      <c r="B70" s="80" t="e">
        <f>#REF!</f>
        <v>#REF!</v>
      </c>
      <c r="C70" s="85" t="e">
        <f>IF($E70=0,0,3)</f>
        <v>#REF!</v>
      </c>
      <c r="D70" s="85" t="e">
        <f t="shared" si="7"/>
        <v>#REF!</v>
      </c>
      <c r="E70" s="85" t="e">
        <f>#REF!</f>
        <v>#REF!</v>
      </c>
      <c r="F70" s="92" t="e">
        <f t="shared" si="1"/>
        <v>#REF!</v>
      </c>
      <c r="G70" s="23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164">
        <v>1</v>
      </c>
      <c r="AM70" s="164">
        <v>2</v>
      </c>
      <c r="AN70" s="164">
        <v>3</v>
      </c>
      <c r="AO70" s="164">
        <v>1</v>
      </c>
      <c r="AP70" s="164">
        <v>2</v>
      </c>
      <c r="AQ70" s="164">
        <v>3</v>
      </c>
      <c r="AR70" s="164">
        <v>4</v>
      </c>
      <c r="AS70" s="760"/>
      <c r="AT70" s="760"/>
      <c r="AU70" s="760"/>
      <c r="AV70" s="760"/>
      <c r="AW70" s="760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</row>
    <row r="71" spans="1:67" ht="27" customHeight="1">
      <c r="A71" s="1103" t="e">
        <f>#REF!</f>
        <v>#REF!</v>
      </c>
      <c r="B71" s="1104" t="e">
        <f>#REF!</f>
        <v>#REF!</v>
      </c>
      <c r="C71" s="88"/>
      <c r="D71" s="89"/>
      <c r="E71" s="1160"/>
      <c r="F71" s="92"/>
      <c r="G71" s="23"/>
      <c r="H71" s="255"/>
      <c r="I71" s="255"/>
      <c r="J71" s="255"/>
      <c r="K71" s="255"/>
      <c r="L71" s="255"/>
      <c r="M71" s="255"/>
      <c r="N71" s="255"/>
      <c r="O71" s="255"/>
      <c r="P71" s="255"/>
      <c r="Q71" s="255"/>
      <c r="R71" s="255"/>
      <c r="S71" s="255"/>
      <c r="T71" s="255"/>
      <c r="U71" s="255"/>
      <c r="V71" s="255"/>
      <c r="W71" s="255"/>
      <c r="X71" s="255"/>
      <c r="Y71" s="255"/>
      <c r="Z71" s="255"/>
      <c r="AA71" s="255"/>
      <c r="AB71" s="255"/>
      <c r="AC71" s="255"/>
      <c r="AD71" s="255"/>
      <c r="AE71" s="255"/>
      <c r="AF71" s="255"/>
      <c r="AG71" s="255"/>
      <c r="AH71" s="255"/>
      <c r="AI71" s="255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</row>
    <row r="72" spans="1:67" ht="27" customHeight="1">
      <c r="A72" s="79" t="e">
        <f>#REF!</f>
        <v>#REF!</v>
      </c>
      <c r="B72" s="80" t="e">
        <f>#REF!</f>
        <v>#REF!</v>
      </c>
      <c r="C72" s="85" t="e">
        <f>IF($E72=0,0,3)</f>
        <v>#REF!</v>
      </c>
      <c r="D72" s="85" t="e">
        <f>IF($E72=0,0,3)</f>
        <v>#REF!</v>
      </c>
      <c r="E72" s="85" t="e">
        <f>#REF!</f>
        <v>#REF!</v>
      </c>
      <c r="F72" s="92"/>
      <c r="G72" s="23"/>
      <c r="H72" s="180">
        <v>1</v>
      </c>
      <c r="I72" s="180">
        <v>2</v>
      </c>
      <c r="J72" s="180">
        <v>3</v>
      </c>
      <c r="K72" s="180">
        <v>1</v>
      </c>
      <c r="L72" s="180">
        <v>2</v>
      </c>
      <c r="M72" s="180">
        <v>3</v>
      </c>
      <c r="N72" s="181"/>
      <c r="O72" s="181"/>
      <c r="P72" s="181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</row>
    <row r="73" spans="1:67" ht="27" customHeight="1">
      <c r="A73" s="79" t="e">
        <f>#REF!</f>
        <v>#REF!</v>
      </c>
      <c r="B73" s="80" t="e">
        <f>#REF!</f>
        <v>#REF!</v>
      </c>
      <c r="C73" s="85" t="e">
        <f t="shared" ref="C73:D75" si="8">IF($E73=0,0,3)</f>
        <v>#REF!</v>
      </c>
      <c r="D73" s="85" t="e">
        <f>IF($E73=0,0,3)</f>
        <v>#REF!</v>
      </c>
      <c r="E73" s="85" t="e">
        <f>#REF!</f>
        <v>#REF!</v>
      </c>
      <c r="F73" s="92"/>
      <c r="G73" s="23"/>
      <c r="H73" s="8"/>
      <c r="I73" s="8"/>
      <c r="J73" s="8"/>
      <c r="K73" s="8"/>
      <c r="L73" s="8"/>
      <c r="M73" s="8"/>
      <c r="N73" s="164">
        <v>1</v>
      </c>
      <c r="O73" s="164">
        <v>2</v>
      </c>
      <c r="P73" s="164">
        <v>3</v>
      </c>
      <c r="Q73" s="164">
        <v>1</v>
      </c>
      <c r="R73" s="164">
        <v>2</v>
      </c>
      <c r="S73" s="164">
        <v>3</v>
      </c>
      <c r="T73" s="164">
        <v>4</v>
      </c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</row>
    <row r="74" spans="1:67" ht="27" customHeight="1">
      <c r="A74" s="79" t="e">
        <f>#REF!</f>
        <v>#REF!</v>
      </c>
      <c r="B74" s="80" t="e">
        <f>#REF!</f>
        <v>#REF!</v>
      </c>
      <c r="C74" s="85" t="e">
        <f t="shared" si="8"/>
        <v>#REF!</v>
      </c>
      <c r="D74" s="85" t="e">
        <f t="shared" si="8"/>
        <v>#REF!</v>
      </c>
      <c r="E74" s="85" t="e">
        <f>#REF!</f>
        <v>#REF!</v>
      </c>
      <c r="F74" s="92"/>
      <c r="G74" s="23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164">
        <v>1</v>
      </c>
      <c r="V74" s="164">
        <v>2</v>
      </c>
      <c r="W74" s="164">
        <v>3</v>
      </c>
      <c r="X74" s="164">
        <v>1</v>
      </c>
      <c r="Y74" s="164">
        <v>2</v>
      </c>
      <c r="Z74" s="164">
        <v>3</v>
      </c>
      <c r="AA74" s="164">
        <v>4</v>
      </c>
      <c r="AB74" s="164">
        <v>5</v>
      </c>
      <c r="AC74" s="164">
        <v>6</v>
      </c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</row>
    <row r="75" spans="1:67" ht="27" customHeight="1">
      <c r="A75" s="79" t="e">
        <f>#REF!</f>
        <v>#REF!</v>
      </c>
      <c r="B75" s="80" t="e">
        <f>#REF!</f>
        <v>#REF!</v>
      </c>
      <c r="C75" s="85" t="e">
        <f t="shared" si="8"/>
        <v>#REF!</v>
      </c>
      <c r="D75" s="85" t="e">
        <f t="shared" si="8"/>
        <v>#REF!</v>
      </c>
      <c r="E75" s="85" t="e">
        <f>#REF!</f>
        <v>#REF!</v>
      </c>
      <c r="F75" s="92"/>
      <c r="G75" s="23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164">
        <v>1</v>
      </c>
      <c r="AE75" s="164">
        <v>2</v>
      </c>
      <c r="AF75" s="164">
        <v>3</v>
      </c>
      <c r="AG75" s="164">
        <v>1</v>
      </c>
      <c r="AH75" s="164">
        <v>2</v>
      </c>
      <c r="AI75" s="164">
        <v>3</v>
      </c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</row>
    <row r="76" spans="1:67" ht="27" customHeight="1">
      <c r="A76" s="1103" t="e">
        <f>#REF!</f>
        <v>#REF!</v>
      </c>
      <c r="B76" s="80" t="e">
        <f>#REF!</f>
        <v>#REF!</v>
      </c>
      <c r="C76" s="88"/>
      <c r="D76" s="89"/>
      <c r="E76" s="1160"/>
      <c r="F76" s="92"/>
      <c r="G76" s="23"/>
      <c r="H76" s="255"/>
      <c r="I76" s="255"/>
      <c r="J76" s="255"/>
      <c r="K76" s="255"/>
      <c r="L76" s="255"/>
      <c r="M76" s="255"/>
      <c r="N76" s="255"/>
      <c r="O76" s="255"/>
      <c r="P76" s="255"/>
      <c r="Q76" s="255"/>
      <c r="R76" s="255"/>
      <c r="S76" s="255"/>
      <c r="T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255"/>
      <c r="AF76" s="255"/>
      <c r="AG76" s="255"/>
      <c r="AH76" s="255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</row>
    <row r="77" spans="1:67" ht="27" customHeight="1">
      <c r="A77" s="79" t="e">
        <f>#REF!</f>
        <v>#REF!</v>
      </c>
      <c r="B77" s="80" t="e">
        <f>#REF!</f>
        <v>#REF!</v>
      </c>
      <c r="C77" s="85" t="e">
        <f t="shared" ref="C77:D80" si="9">IF($E77=0,0,3)</f>
        <v>#REF!</v>
      </c>
      <c r="D77" s="85" t="e">
        <f t="shared" si="9"/>
        <v>#REF!</v>
      </c>
      <c r="E77" s="85" t="e">
        <f>#REF!</f>
        <v>#REF!</v>
      </c>
      <c r="F77" s="92"/>
      <c r="G77" s="23"/>
      <c r="H77" s="164">
        <v>1</v>
      </c>
      <c r="I77" s="164">
        <v>2</v>
      </c>
      <c r="J77" s="164">
        <v>3</v>
      </c>
      <c r="K77" s="164">
        <v>4</v>
      </c>
      <c r="L77" s="164">
        <v>5</v>
      </c>
      <c r="M77" s="164">
        <v>6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</row>
    <row r="78" spans="1:67" ht="27" customHeight="1">
      <c r="A78" s="79" t="e">
        <f>#REF!</f>
        <v>#REF!</v>
      </c>
      <c r="B78" s="80" t="e">
        <f>#REF!</f>
        <v>#REF!</v>
      </c>
      <c r="C78" s="85" t="e">
        <f t="shared" si="9"/>
        <v>#REF!</v>
      </c>
      <c r="D78" s="85" t="e">
        <f t="shared" si="9"/>
        <v>#REF!</v>
      </c>
      <c r="E78" s="85" t="e">
        <f>#REF!</f>
        <v>#REF!</v>
      </c>
      <c r="F78" s="92"/>
      <c r="G78" s="23"/>
      <c r="H78" s="8"/>
      <c r="I78" s="8"/>
      <c r="J78" s="8"/>
      <c r="K78" s="8"/>
      <c r="L78" s="8"/>
      <c r="M78" s="8"/>
      <c r="N78" s="164">
        <v>1</v>
      </c>
      <c r="O78" s="164">
        <v>2</v>
      </c>
      <c r="P78" s="164">
        <v>3</v>
      </c>
      <c r="Q78" s="164">
        <v>1</v>
      </c>
      <c r="R78" s="164">
        <v>2</v>
      </c>
      <c r="S78" s="164">
        <v>3</v>
      </c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</row>
    <row r="79" spans="1:67" ht="27" customHeight="1">
      <c r="A79" s="79" t="e">
        <f>#REF!</f>
        <v>#REF!</v>
      </c>
      <c r="B79" s="80" t="e">
        <f>#REF!</f>
        <v>#REF!</v>
      </c>
      <c r="C79" s="85" t="e">
        <f t="shared" si="9"/>
        <v>#REF!</v>
      </c>
      <c r="D79" s="85" t="e">
        <f t="shared" si="9"/>
        <v>#REF!</v>
      </c>
      <c r="E79" s="85" t="e">
        <f>#REF!</f>
        <v>#REF!</v>
      </c>
      <c r="F79" s="92"/>
      <c r="G79" s="23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164">
        <v>1</v>
      </c>
      <c r="U79" s="164">
        <v>2</v>
      </c>
      <c r="V79" s="164">
        <v>3</v>
      </c>
      <c r="W79" s="164">
        <v>1</v>
      </c>
      <c r="X79" s="164">
        <v>2</v>
      </c>
      <c r="Y79" s="164">
        <v>3</v>
      </c>
      <c r="Z79" s="164">
        <v>4</v>
      </c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</row>
    <row r="80" spans="1:67" ht="27" customHeight="1">
      <c r="A80" s="79" t="e">
        <f>#REF!</f>
        <v>#REF!</v>
      </c>
      <c r="B80" s="80" t="e">
        <f>#REF!</f>
        <v>#REF!</v>
      </c>
      <c r="C80" s="85" t="e">
        <f t="shared" si="9"/>
        <v>#REF!</v>
      </c>
      <c r="D80" s="85" t="e">
        <f t="shared" si="9"/>
        <v>#REF!</v>
      </c>
      <c r="E80" s="85" t="e">
        <f>#REF!</f>
        <v>#REF!</v>
      </c>
      <c r="F80" s="92"/>
      <c r="G80" s="23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164">
        <v>1</v>
      </c>
      <c r="AB80" s="164">
        <v>2</v>
      </c>
      <c r="AC80" s="164">
        <v>3</v>
      </c>
      <c r="AD80" s="164">
        <v>1</v>
      </c>
      <c r="AE80" s="164">
        <v>2</v>
      </c>
      <c r="AF80" s="164">
        <v>3</v>
      </c>
      <c r="AG80" s="164">
        <v>4</v>
      </c>
      <c r="AH80" s="164">
        <v>5</v>
      </c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</row>
    <row r="81" spans="1:7" ht="27" customHeight="1">
      <c r="A81" s="1080" t="e">
        <f>#REF!</f>
        <v>#REF!</v>
      </c>
      <c r="B81" s="1098" t="e">
        <f>#REF!</f>
        <v>#REF!</v>
      </c>
      <c r="C81" s="85"/>
      <c r="D81" s="85"/>
      <c r="E81" s="1161"/>
      <c r="F81" s="92">
        <f t="shared" si="1"/>
        <v>0</v>
      </c>
      <c r="G81" s="23"/>
    </row>
    <row r="82" spans="1:7" ht="27" customHeight="1">
      <c r="A82" s="1080" t="e">
        <f>#REF!</f>
        <v>#REF!</v>
      </c>
      <c r="B82" s="1098" t="e">
        <f>#REF!</f>
        <v>#REF!</v>
      </c>
      <c r="C82" s="85"/>
      <c r="D82" s="85"/>
      <c r="E82" s="1161"/>
      <c r="F82" s="92">
        <f t="shared" si="1"/>
        <v>0</v>
      </c>
      <c r="G82" s="23"/>
    </row>
  </sheetData>
  <mergeCells count="12">
    <mergeCell ref="T6:AE6"/>
    <mergeCell ref="AF6:AQ6"/>
    <mergeCell ref="AR6:BC6"/>
    <mergeCell ref="BD6:BO6"/>
    <mergeCell ref="A2:B2"/>
    <mergeCell ref="A6:A7"/>
    <mergeCell ref="B6:B7"/>
    <mergeCell ref="H6:S6"/>
    <mergeCell ref="E6:E7"/>
    <mergeCell ref="C6:C7"/>
    <mergeCell ref="D6:D7"/>
    <mergeCell ref="F6:F7"/>
  </mergeCells>
  <phoneticPr fontId="2" type="noConversion"/>
  <pageMargins left="0.39370078740157483" right="0.39370078740157483" top="0.39370078740157483" bottom="0.39370078740157483" header="0" footer="0"/>
  <pageSetup paperSize="9" scale="47" fitToHeight="9" orientation="landscape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41">
    <outlinePr summaryBelow="0"/>
    <pageSetUpPr fitToPage="1"/>
  </sheetPr>
  <dimension ref="A1:BO105"/>
  <sheetViews>
    <sheetView zoomScale="85" workbookViewId="0">
      <selection activeCell="B70" sqref="B70"/>
    </sheetView>
  </sheetViews>
  <sheetFormatPr defaultColWidth="10.7109375" defaultRowHeight="13.15" outlineLevelRow="1" outlineLevelCol="2"/>
  <cols>
    <col min="1" max="1" width="5.85546875" customWidth="1"/>
    <col min="2" max="2" width="66.42578125" customWidth="1" outlineLevel="1"/>
    <col min="3" max="3" width="12.42578125" hidden="1" customWidth="1" outlineLevel="2"/>
    <col min="4" max="4" width="12.42578125" customWidth="1" outlineLevel="1" collapsed="1"/>
    <col min="5" max="5" width="12" customWidth="1" outlineLevel="1"/>
    <col min="6" max="6" width="11.42578125" hidden="1" customWidth="1" outlineLevel="2"/>
    <col min="7" max="7" width="3.7109375" customWidth="1" outlineLevel="1" collapsed="1"/>
    <col min="8" max="16" width="2.7109375" customWidth="1"/>
    <col min="17" max="19" width="3.28515625" customWidth="1"/>
    <col min="20" max="31" width="3" customWidth="1"/>
    <col min="32" max="67" width="3.42578125" customWidth="1"/>
  </cols>
  <sheetData>
    <row r="1" spans="1:67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760"/>
      <c r="Q1" s="760"/>
      <c r="R1" s="760"/>
      <c r="S1" s="760"/>
      <c r="T1" s="760"/>
      <c r="U1" s="760"/>
      <c r="V1" s="760"/>
      <c r="W1" s="760"/>
      <c r="X1" s="760"/>
      <c r="Y1" s="760"/>
      <c r="Z1" s="760"/>
      <c r="AA1" s="760"/>
      <c r="AB1" s="760"/>
      <c r="AC1" s="760"/>
      <c r="AD1" s="760"/>
      <c r="AE1" s="760"/>
      <c r="AF1" s="760"/>
      <c r="AG1" s="760"/>
      <c r="AH1" s="760"/>
      <c r="AI1" s="760"/>
      <c r="AJ1" s="760"/>
      <c r="AK1" s="760"/>
      <c r="AL1" s="760"/>
      <c r="AM1" s="760"/>
      <c r="AN1" s="760"/>
      <c r="AO1" s="760"/>
      <c r="AP1" s="760"/>
      <c r="AQ1" s="760"/>
      <c r="AR1" s="760"/>
      <c r="AS1" s="760"/>
      <c r="AT1" s="760"/>
      <c r="AU1" s="760"/>
      <c r="AV1" s="760"/>
      <c r="AW1" s="760"/>
      <c r="AX1" s="760"/>
      <c r="AY1" s="760"/>
      <c r="AZ1" s="760"/>
      <c r="BA1" s="760"/>
      <c r="BB1" s="760"/>
      <c r="BC1" s="760"/>
      <c r="BD1" s="760"/>
      <c r="BE1" s="760"/>
      <c r="BF1" s="760"/>
      <c r="BG1" s="760"/>
      <c r="BH1" s="760"/>
      <c r="BI1" s="760"/>
      <c r="BJ1" s="760"/>
      <c r="BK1" s="760"/>
      <c r="BL1" s="760"/>
      <c r="BM1" s="760"/>
      <c r="BN1" s="760"/>
      <c r="BO1" s="760"/>
    </row>
    <row r="2" spans="1:67" ht="21">
      <c r="A2" s="965" t="s">
        <v>610</v>
      </c>
      <c r="B2" s="965"/>
      <c r="C2" s="774"/>
      <c r="D2" s="774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760"/>
      <c r="Q2" s="760"/>
      <c r="R2" s="760"/>
      <c r="S2" s="760"/>
      <c r="T2" s="760"/>
      <c r="U2" s="760"/>
      <c r="V2" s="760"/>
      <c r="W2" s="760"/>
      <c r="X2" s="760"/>
      <c r="Y2" s="760"/>
      <c r="Z2" s="760"/>
      <c r="AA2" s="760"/>
      <c r="AB2" s="760"/>
      <c r="AC2" s="760"/>
      <c r="AD2" s="760"/>
      <c r="AE2" s="760"/>
      <c r="AF2" s="760"/>
      <c r="AG2" s="760"/>
      <c r="AH2" s="760"/>
      <c r="AI2" s="760"/>
      <c r="AJ2" s="760"/>
      <c r="AK2" s="760"/>
      <c r="AL2" s="760"/>
      <c r="AM2" s="760"/>
      <c r="AN2" s="760"/>
      <c r="AO2" s="760"/>
      <c r="AP2" s="760"/>
      <c r="AQ2" s="760"/>
      <c r="AR2" s="760"/>
      <c r="AS2" s="760"/>
      <c r="AT2" s="760"/>
      <c r="AU2" s="760"/>
      <c r="AV2" s="760"/>
      <c r="AW2" s="760"/>
      <c r="AX2" s="760"/>
      <c r="AY2" s="760"/>
      <c r="AZ2" s="760"/>
      <c r="BA2" s="760"/>
      <c r="BB2" s="760"/>
      <c r="BC2" s="760"/>
      <c r="BD2" s="760"/>
      <c r="BE2" s="760"/>
      <c r="BF2" s="760"/>
      <c r="BG2" s="760"/>
      <c r="BH2" s="760"/>
      <c r="BI2" s="760"/>
      <c r="BJ2" s="760"/>
      <c r="BK2" s="760"/>
      <c r="BL2" s="760"/>
      <c r="BM2" s="760"/>
      <c r="BN2" s="760"/>
      <c r="BO2" s="760"/>
    </row>
    <row r="3" spans="1:67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  <c r="AW3" s="760"/>
      <c r="AX3" s="760"/>
      <c r="AY3" s="760"/>
      <c r="AZ3" s="760"/>
      <c r="BA3" s="760"/>
      <c r="BB3" s="760"/>
      <c r="BC3" s="760"/>
      <c r="BD3" s="760"/>
      <c r="BE3" s="760"/>
      <c r="BF3" s="760"/>
      <c r="BG3" s="760"/>
      <c r="BH3" s="760"/>
      <c r="BI3" s="760"/>
      <c r="BJ3" s="760"/>
      <c r="BK3" s="760"/>
      <c r="BL3" s="760"/>
      <c r="BM3" s="760"/>
      <c r="BN3" s="760"/>
      <c r="BO3" s="760"/>
    </row>
    <row r="4" spans="1:67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760"/>
      <c r="Q4" s="760"/>
      <c r="R4" s="760"/>
      <c r="S4" s="760"/>
      <c r="T4" s="760"/>
      <c r="U4" s="760"/>
      <c r="V4" s="760"/>
      <c r="W4" s="760"/>
      <c r="X4" s="760"/>
      <c r="Y4" s="760"/>
      <c r="Z4" s="760"/>
      <c r="AA4" s="760"/>
      <c r="AB4" s="760"/>
      <c r="AC4" s="760"/>
      <c r="AD4" s="760"/>
      <c r="AE4" s="760"/>
      <c r="AF4" s="760"/>
      <c r="AG4" s="760"/>
      <c r="AH4" s="760"/>
      <c r="AI4" s="760"/>
      <c r="AJ4" s="760"/>
      <c r="AK4" s="760"/>
      <c r="AL4" s="760"/>
      <c r="AM4" s="760"/>
      <c r="AN4" s="760"/>
      <c r="AO4" s="760"/>
      <c r="AP4" s="760"/>
      <c r="AQ4" s="760"/>
      <c r="AR4" s="760"/>
      <c r="AS4" s="760"/>
      <c r="AT4" s="760"/>
      <c r="AU4" s="760"/>
      <c r="AV4" s="760"/>
      <c r="AW4" s="760"/>
      <c r="AX4" s="760"/>
      <c r="AY4" s="760"/>
      <c r="AZ4" s="760"/>
      <c r="BA4" s="760"/>
      <c r="BB4" s="760"/>
      <c r="BC4" s="760"/>
      <c r="BD4" s="760"/>
      <c r="BE4" s="760"/>
      <c r="BF4" s="760"/>
      <c r="BG4" s="760"/>
      <c r="BH4" s="760"/>
      <c r="BI4" s="760"/>
      <c r="BJ4" s="760"/>
      <c r="BK4" s="760"/>
      <c r="BL4" s="760"/>
      <c r="BM4" s="760"/>
      <c r="BN4" s="760"/>
      <c r="BO4" s="760"/>
    </row>
    <row r="5" spans="1:67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760"/>
      <c r="Q5" s="760"/>
      <c r="R5" s="760"/>
      <c r="S5" s="760"/>
      <c r="T5" s="760"/>
      <c r="U5" s="760"/>
      <c r="V5" s="760"/>
      <c r="W5" s="760"/>
      <c r="X5" s="760"/>
      <c r="Y5" s="760"/>
      <c r="Z5" s="760"/>
      <c r="AA5" s="760"/>
      <c r="AB5" s="760"/>
      <c r="AC5" s="760"/>
      <c r="AD5" s="760"/>
      <c r="AE5" s="760"/>
      <c r="AF5" s="760"/>
      <c r="AG5" s="760"/>
      <c r="AH5" s="760"/>
      <c r="AI5" s="760"/>
      <c r="AJ5" s="760"/>
      <c r="AK5" s="760"/>
      <c r="AL5" s="760"/>
      <c r="AM5" s="760"/>
      <c r="AN5" s="760"/>
      <c r="AO5" s="760"/>
      <c r="AP5" s="760"/>
      <c r="AQ5" s="760"/>
      <c r="AR5" s="760"/>
      <c r="AS5" s="760"/>
      <c r="AT5" s="760"/>
      <c r="AU5" s="760"/>
      <c r="AV5" s="760"/>
      <c r="AW5" s="760"/>
      <c r="AX5" s="760"/>
      <c r="AY5" s="760"/>
      <c r="AZ5" s="760"/>
      <c r="BA5" s="760"/>
      <c r="BB5" s="760"/>
      <c r="BC5" s="760"/>
      <c r="BD5" s="760"/>
      <c r="BE5" s="760"/>
      <c r="BF5" s="760"/>
      <c r="BG5" s="760"/>
      <c r="BH5" s="760"/>
      <c r="BI5" s="760"/>
      <c r="BJ5" s="760"/>
      <c r="BK5" s="760"/>
      <c r="BL5" s="760"/>
      <c r="BM5" s="760"/>
      <c r="BN5" s="760"/>
      <c r="BO5" s="760"/>
    </row>
    <row r="6" spans="1:67" ht="21.75" customHeight="1">
      <c r="A6" s="1086" t="s">
        <v>487</v>
      </c>
      <c r="B6" s="1086" t="s">
        <v>506</v>
      </c>
      <c r="C6" s="1086" t="s">
        <v>611</v>
      </c>
      <c r="D6" s="1086" t="s">
        <v>612</v>
      </c>
      <c r="E6" s="1086" t="s">
        <v>613</v>
      </c>
      <c r="F6" s="1086" t="s">
        <v>18</v>
      </c>
      <c r="G6" s="23"/>
      <c r="H6" s="1091" t="s">
        <v>614</v>
      </c>
      <c r="I6" s="1092"/>
      <c r="J6" s="1092"/>
      <c r="K6" s="1092"/>
      <c r="L6" s="1092"/>
      <c r="M6" s="1092"/>
      <c r="N6" s="1092"/>
      <c r="O6" s="1092"/>
      <c r="P6" s="1092"/>
      <c r="Q6" s="1092"/>
      <c r="R6" s="1092"/>
      <c r="S6" s="1093"/>
      <c r="T6" s="1091" t="s">
        <v>615</v>
      </c>
      <c r="U6" s="1092"/>
      <c r="V6" s="1092"/>
      <c r="W6" s="1092"/>
      <c r="X6" s="1092"/>
      <c r="Y6" s="1092"/>
      <c r="Z6" s="1092"/>
      <c r="AA6" s="1092"/>
      <c r="AB6" s="1092"/>
      <c r="AC6" s="1092"/>
      <c r="AD6" s="1092"/>
      <c r="AE6" s="1093"/>
      <c r="AF6" s="1091" t="s">
        <v>616</v>
      </c>
      <c r="AG6" s="1092"/>
      <c r="AH6" s="1092"/>
      <c r="AI6" s="1092"/>
      <c r="AJ6" s="1092"/>
      <c r="AK6" s="1092"/>
      <c r="AL6" s="1092"/>
      <c r="AM6" s="1092"/>
      <c r="AN6" s="1092"/>
      <c r="AO6" s="1092"/>
      <c r="AP6" s="1092"/>
      <c r="AQ6" s="1093"/>
      <c r="AR6" s="1091" t="s">
        <v>617</v>
      </c>
      <c r="AS6" s="1092"/>
      <c r="AT6" s="1092"/>
      <c r="AU6" s="1092"/>
      <c r="AV6" s="1092"/>
      <c r="AW6" s="1092"/>
      <c r="AX6" s="1092"/>
      <c r="AY6" s="1092"/>
      <c r="AZ6" s="1092"/>
      <c r="BA6" s="1092"/>
      <c r="BB6" s="1092"/>
      <c r="BC6" s="1093"/>
      <c r="BD6" s="1091" t="s">
        <v>618</v>
      </c>
      <c r="BE6" s="1092"/>
      <c r="BF6" s="1092"/>
      <c r="BG6" s="1092"/>
      <c r="BH6" s="1092"/>
      <c r="BI6" s="1092"/>
      <c r="BJ6" s="1092"/>
      <c r="BK6" s="1092"/>
      <c r="BL6" s="1092"/>
      <c r="BM6" s="1092"/>
      <c r="BN6" s="1092"/>
      <c r="BO6" s="1093"/>
    </row>
    <row r="7" spans="1:67" ht="21.75" customHeight="1">
      <c r="A7" s="1086"/>
      <c r="B7" s="1086"/>
      <c r="C7" s="1154"/>
      <c r="D7" s="1154"/>
      <c r="E7" s="1154"/>
      <c r="F7" s="1154"/>
      <c r="G7" s="23"/>
      <c r="H7" s="1095">
        <v>1</v>
      </c>
      <c r="I7" s="1095">
        <v>2</v>
      </c>
      <c r="J7" s="1095">
        <v>3</v>
      </c>
      <c r="K7" s="1095">
        <v>4</v>
      </c>
      <c r="L7" s="1095">
        <v>5</v>
      </c>
      <c r="M7" s="1095">
        <v>6</v>
      </c>
      <c r="N7" s="1095">
        <v>7</v>
      </c>
      <c r="O7" s="1095">
        <v>8</v>
      </c>
      <c r="P7" s="1095">
        <v>9</v>
      </c>
      <c r="Q7" s="1095">
        <v>10</v>
      </c>
      <c r="R7" s="1095">
        <v>11</v>
      </c>
      <c r="S7" s="1095">
        <v>12</v>
      </c>
      <c r="T7" s="1095">
        <v>13</v>
      </c>
      <c r="U7" s="1095">
        <v>14</v>
      </c>
      <c r="V7" s="1095">
        <v>15</v>
      </c>
      <c r="W7" s="1095">
        <v>16</v>
      </c>
      <c r="X7" s="1095">
        <v>17</v>
      </c>
      <c r="Y7" s="1095">
        <v>18</v>
      </c>
      <c r="Z7" s="1095">
        <v>19</v>
      </c>
      <c r="AA7" s="1095">
        <v>20</v>
      </c>
      <c r="AB7" s="1095">
        <v>21</v>
      </c>
      <c r="AC7" s="1095">
        <v>22</v>
      </c>
      <c r="AD7" s="1095">
        <v>23</v>
      </c>
      <c r="AE7" s="1095">
        <v>24</v>
      </c>
      <c r="AF7" s="1095">
        <v>25</v>
      </c>
      <c r="AG7" s="1095">
        <v>26</v>
      </c>
      <c r="AH7" s="1095">
        <v>27</v>
      </c>
      <c r="AI7" s="1095">
        <v>28</v>
      </c>
      <c r="AJ7" s="1095">
        <v>29</v>
      </c>
      <c r="AK7" s="1095">
        <v>30</v>
      </c>
      <c r="AL7" s="1095">
        <v>31</v>
      </c>
      <c r="AM7" s="1095">
        <v>32</v>
      </c>
      <c r="AN7" s="1095">
        <v>33</v>
      </c>
      <c r="AO7" s="1095">
        <v>34</v>
      </c>
      <c r="AP7" s="1095">
        <v>35</v>
      </c>
      <c r="AQ7" s="1095">
        <v>36</v>
      </c>
      <c r="AR7" s="1095">
        <v>37</v>
      </c>
      <c r="AS7" s="1095">
        <v>38</v>
      </c>
      <c r="AT7" s="1095">
        <v>39</v>
      </c>
      <c r="AU7" s="1095">
        <v>40</v>
      </c>
      <c r="AV7" s="1095">
        <v>41</v>
      </c>
      <c r="AW7" s="1095">
        <v>42</v>
      </c>
      <c r="AX7" s="1095">
        <v>43</v>
      </c>
      <c r="AY7" s="1095">
        <v>44</v>
      </c>
      <c r="AZ7" s="1095">
        <v>45</v>
      </c>
      <c r="BA7" s="1095">
        <v>46</v>
      </c>
      <c r="BB7" s="1095">
        <v>47</v>
      </c>
      <c r="BC7" s="1095">
        <v>48</v>
      </c>
      <c r="BD7" s="1095">
        <v>49</v>
      </c>
      <c r="BE7" s="1095">
        <v>50</v>
      </c>
      <c r="BF7" s="1095">
        <v>51</v>
      </c>
      <c r="BG7" s="1095">
        <v>52</v>
      </c>
      <c r="BH7" s="1095">
        <v>53</v>
      </c>
      <c r="BI7" s="1095">
        <v>54</v>
      </c>
      <c r="BJ7" s="1095">
        <v>55</v>
      </c>
      <c r="BK7" s="1095">
        <v>56</v>
      </c>
      <c r="BL7" s="1095">
        <v>57</v>
      </c>
      <c r="BM7" s="1095">
        <v>58</v>
      </c>
      <c r="BN7" s="1095">
        <v>59</v>
      </c>
      <c r="BO7" s="1095">
        <v>60</v>
      </c>
    </row>
    <row r="8" spans="1:67" ht="27" customHeight="1">
      <c r="A8" s="1110">
        <v>1</v>
      </c>
      <c r="B8" s="1155" t="e">
        <f>#REF!</f>
        <v>#REF!</v>
      </c>
      <c r="C8" s="88"/>
      <c r="D8" s="89"/>
      <c r="E8" s="1157"/>
      <c r="F8" s="90"/>
      <c r="G8" s="23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</row>
    <row r="9" spans="1:67" ht="27" customHeight="1" outlineLevel="1">
      <c r="A9" s="1103" t="e">
        <f>#REF!</f>
        <v>#REF!</v>
      </c>
      <c r="B9" s="1104" t="e">
        <f>#REF!</f>
        <v>#REF!</v>
      </c>
      <c r="C9" s="88"/>
      <c r="D9" s="89"/>
      <c r="E9" s="1160"/>
      <c r="F9" s="92"/>
      <c r="G9" s="23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</row>
    <row r="10" spans="1:67" ht="27" customHeight="1" outlineLevel="1">
      <c r="A10" s="79" t="e">
        <f>#REF!</f>
        <v>#REF!</v>
      </c>
      <c r="B10" s="80" t="e">
        <f>#REF!</f>
        <v>#REF!</v>
      </c>
      <c r="C10" s="85" t="e">
        <f t="shared" ref="C10:D13" si="0">IF($E10=0,0,3)</f>
        <v>#REF!</v>
      </c>
      <c r="D10" s="85" t="e">
        <f t="shared" si="0"/>
        <v>#REF!</v>
      </c>
      <c r="E10" s="85" t="e">
        <f>#REF!</f>
        <v>#REF!</v>
      </c>
      <c r="F10" s="92"/>
      <c r="G10" s="23"/>
      <c r="H10" s="180">
        <v>1</v>
      </c>
      <c r="I10" s="180">
        <v>2</v>
      </c>
      <c r="J10" s="180">
        <v>3</v>
      </c>
      <c r="K10" s="180">
        <v>1</v>
      </c>
      <c r="L10" s="180">
        <v>2</v>
      </c>
      <c r="M10" s="180">
        <v>3</v>
      </c>
      <c r="N10" s="181"/>
      <c r="O10" s="181"/>
      <c r="P10" s="181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</row>
    <row r="11" spans="1:67" ht="27" customHeight="1" outlineLevel="1">
      <c r="A11" s="79" t="e">
        <f>#REF!</f>
        <v>#REF!</v>
      </c>
      <c r="B11" s="80" t="e">
        <f>#REF!</f>
        <v>#REF!</v>
      </c>
      <c r="C11" s="85" t="e">
        <f t="shared" si="0"/>
        <v>#REF!</v>
      </c>
      <c r="D11" s="85" t="e">
        <f t="shared" si="0"/>
        <v>#REF!</v>
      </c>
      <c r="E11" s="85" t="e">
        <f>#REF!</f>
        <v>#REF!</v>
      </c>
      <c r="F11" s="92"/>
      <c r="G11" s="23"/>
      <c r="H11" s="8"/>
      <c r="I11" s="8"/>
      <c r="J11" s="8"/>
      <c r="K11" s="8"/>
      <c r="L11" s="8"/>
      <c r="M11" s="8"/>
      <c r="N11" s="164">
        <v>1</v>
      </c>
      <c r="O11" s="164">
        <v>2</v>
      </c>
      <c r="P11" s="164">
        <v>3</v>
      </c>
      <c r="Q11" s="164">
        <v>1</v>
      </c>
      <c r="R11" s="164">
        <v>2</v>
      </c>
      <c r="S11" s="164">
        <v>3</v>
      </c>
      <c r="T11" s="164">
        <v>4</v>
      </c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</row>
    <row r="12" spans="1:67" ht="27" customHeight="1" outlineLevel="1">
      <c r="A12" s="79" t="e">
        <f>#REF!</f>
        <v>#REF!</v>
      </c>
      <c r="B12" s="80" t="e">
        <f>#REF!</f>
        <v>#REF!</v>
      </c>
      <c r="C12" s="85" t="e">
        <f t="shared" si="0"/>
        <v>#REF!</v>
      </c>
      <c r="D12" s="85" t="e">
        <f t="shared" si="0"/>
        <v>#REF!</v>
      </c>
      <c r="E12" s="85" t="e">
        <f>#REF!</f>
        <v>#REF!</v>
      </c>
      <c r="F12" s="92"/>
      <c r="G12" s="23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64">
        <v>1</v>
      </c>
      <c r="V12" s="164">
        <v>2</v>
      </c>
      <c r="W12" s="164">
        <v>3</v>
      </c>
      <c r="X12" s="164">
        <v>1</v>
      </c>
      <c r="Y12" s="164">
        <v>2</v>
      </c>
      <c r="Z12" s="164">
        <v>3</v>
      </c>
      <c r="AA12" s="164">
        <v>4</v>
      </c>
      <c r="AB12" s="164">
        <v>5</v>
      </c>
      <c r="AC12" s="164">
        <v>6</v>
      </c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27" customHeight="1" outlineLevel="1">
      <c r="A13" s="79" t="e">
        <f>#REF!</f>
        <v>#REF!</v>
      </c>
      <c r="B13" s="80" t="e">
        <f>#REF!</f>
        <v>#REF!</v>
      </c>
      <c r="C13" s="85" t="e">
        <f t="shared" si="0"/>
        <v>#REF!</v>
      </c>
      <c r="D13" s="85" t="e">
        <f t="shared" si="0"/>
        <v>#REF!</v>
      </c>
      <c r="E13" s="85" t="e">
        <f>#REF!</f>
        <v>#REF!</v>
      </c>
      <c r="F13" s="92"/>
      <c r="G13" s="23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164">
        <v>1</v>
      </c>
      <c r="AE13" s="164">
        <v>2</v>
      </c>
      <c r="AF13" s="164">
        <v>3</v>
      </c>
      <c r="AG13" s="164">
        <v>1</v>
      </c>
      <c r="AH13" s="164">
        <v>2</v>
      </c>
      <c r="AI13" s="164">
        <v>3</v>
      </c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</row>
    <row r="14" spans="1:67" ht="27" customHeight="1" outlineLevel="1">
      <c r="A14" s="1103" t="e">
        <f>#REF!</f>
        <v>#REF!</v>
      </c>
      <c r="B14" s="1104" t="e">
        <f>#REF!</f>
        <v>#REF!</v>
      </c>
      <c r="C14" s="88"/>
      <c r="D14" s="89"/>
      <c r="E14" s="1160"/>
      <c r="F14" s="92"/>
      <c r="G14" s="23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</row>
    <row r="15" spans="1:67" ht="27" customHeight="1" outlineLevel="1">
      <c r="A15" s="79" t="e">
        <f>#REF!</f>
        <v>#REF!</v>
      </c>
      <c r="B15" s="80" t="e">
        <f>#REF!</f>
        <v>#REF!</v>
      </c>
      <c r="C15" s="85" t="e">
        <f t="shared" ref="C15:D18" si="1">IF($E15=0,0,3)</f>
        <v>#REF!</v>
      </c>
      <c r="D15" s="85" t="e">
        <f t="shared" si="1"/>
        <v>#REF!</v>
      </c>
      <c r="E15" s="85" t="e">
        <f>#REF!</f>
        <v>#REF!</v>
      </c>
      <c r="F15" s="92"/>
      <c r="G15" s="23"/>
      <c r="H15" s="164">
        <v>1</v>
      </c>
      <c r="I15" s="164">
        <v>2</v>
      </c>
      <c r="J15" s="164">
        <v>3</v>
      </c>
      <c r="K15" s="164">
        <v>4</v>
      </c>
      <c r="L15" s="164">
        <v>5</v>
      </c>
      <c r="M15" s="164">
        <v>6</v>
      </c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</row>
    <row r="16" spans="1:67" ht="27" customHeight="1" outlineLevel="1">
      <c r="A16" s="79" t="e">
        <f>#REF!</f>
        <v>#REF!</v>
      </c>
      <c r="B16" s="80" t="e">
        <f>#REF!</f>
        <v>#REF!</v>
      </c>
      <c r="C16" s="85" t="e">
        <f t="shared" si="1"/>
        <v>#REF!</v>
      </c>
      <c r="D16" s="85" t="e">
        <f t="shared" si="1"/>
        <v>#REF!</v>
      </c>
      <c r="E16" s="85" t="e">
        <f>#REF!</f>
        <v>#REF!</v>
      </c>
      <c r="F16" s="92"/>
      <c r="G16" s="23"/>
      <c r="H16" s="8"/>
      <c r="I16" s="8"/>
      <c r="J16" s="8"/>
      <c r="K16" s="8"/>
      <c r="L16" s="8"/>
      <c r="M16" s="8"/>
      <c r="N16" s="164">
        <v>1</v>
      </c>
      <c r="O16" s="164">
        <v>2</v>
      </c>
      <c r="P16" s="164">
        <v>3</v>
      </c>
      <c r="Q16" s="164">
        <v>1</v>
      </c>
      <c r="R16" s="164">
        <v>2</v>
      </c>
      <c r="S16" s="164">
        <v>3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</row>
    <row r="17" spans="1:67" ht="27" customHeight="1" outlineLevel="1">
      <c r="A17" s="79" t="e">
        <f>#REF!</f>
        <v>#REF!</v>
      </c>
      <c r="B17" s="80" t="e">
        <f>#REF!</f>
        <v>#REF!</v>
      </c>
      <c r="C17" s="85" t="e">
        <f t="shared" si="1"/>
        <v>#REF!</v>
      </c>
      <c r="D17" s="85" t="e">
        <f t="shared" si="1"/>
        <v>#REF!</v>
      </c>
      <c r="E17" s="85" t="e">
        <f>#REF!</f>
        <v>#REF!</v>
      </c>
      <c r="F17" s="92"/>
      <c r="G17" s="23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64">
        <v>1</v>
      </c>
      <c r="U17" s="164">
        <v>2</v>
      </c>
      <c r="V17" s="164">
        <v>3</v>
      </c>
      <c r="W17" s="164">
        <v>1</v>
      </c>
      <c r="X17" s="164">
        <v>2</v>
      </c>
      <c r="Y17" s="164">
        <v>3</v>
      </c>
      <c r="Z17" s="164">
        <v>4</v>
      </c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</row>
    <row r="18" spans="1:67" ht="27" customHeight="1" outlineLevel="1">
      <c r="A18" s="79" t="e">
        <f>#REF!</f>
        <v>#REF!</v>
      </c>
      <c r="B18" s="80" t="e">
        <f>#REF!</f>
        <v>#REF!</v>
      </c>
      <c r="C18" s="85" t="e">
        <f t="shared" si="1"/>
        <v>#REF!</v>
      </c>
      <c r="D18" s="85" t="e">
        <f t="shared" si="1"/>
        <v>#REF!</v>
      </c>
      <c r="E18" s="85" t="e">
        <f>#REF!</f>
        <v>#REF!</v>
      </c>
      <c r="F18" s="92"/>
      <c r="G18" s="23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164">
        <v>1</v>
      </c>
      <c r="AB18" s="164">
        <v>2</v>
      </c>
      <c r="AC18" s="164">
        <v>3</v>
      </c>
      <c r="AD18" s="164">
        <v>1</v>
      </c>
      <c r="AE18" s="164">
        <v>2</v>
      </c>
      <c r="AF18" s="164">
        <v>3</v>
      </c>
      <c r="AG18" s="164">
        <v>4</v>
      </c>
      <c r="AH18" s="164">
        <v>5</v>
      </c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</row>
    <row r="19" spans="1:67" ht="27" customHeight="1" outlineLevel="1">
      <c r="A19" s="1103" t="e">
        <f>#REF!</f>
        <v>#REF!</v>
      </c>
      <c r="B19" s="1158" t="e">
        <f>#REF!</f>
        <v>#REF!</v>
      </c>
      <c r="C19" s="88"/>
      <c r="D19" s="89"/>
      <c r="E19" s="1160"/>
      <c r="F19" s="90"/>
      <c r="G19" s="23"/>
      <c r="H19" s="8"/>
      <c r="I19" s="8"/>
      <c r="J19" s="8"/>
      <c r="K19" s="8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  <c r="AJ19" s="255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</row>
    <row r="20" spans="1:67" ht="27" customHeight="1" outlineLevel="1">
      <c r="A20" s="79" t="e">
        <f>#REF!</f>
        <v>#REF!</v>
      </c>
      <c r="B20" s="80" t="e">
        <f>#REF!</f>
        <v>#REF!</v>
      </c>
      <c r="C20" s="85" t="e">
        <f>IF($E20=0,0,3)</f>
        <v>#REF!</v>
      </c>
      <c r="D20" s="85" t="e">
        <f>IF($E20=0,0,3)</f>
        <v>#REF!</v>
      </c>
      <c r="E20" s="87" t="e">
        <f>#REF!</f>
        <v>#REF!</v>
      </c>
      <c r="F20" s="92" t="e">
        <f>SUM(C20:E20)</f>
        <v>#REF!</v>
      </c>
      <c r="G20" s="23"/>
      <c r="H20" s="8"/>
      <c r="I20" s="8"/>
      <c r="J20" s="8"/>
      <c r="K20" s="8"/>
      <c r="L20" s="164">
        <v>1</v>
      </c>
      <c r="M20" s="164">
        <v>2</v>
      </c>
      <c r="N20" s="164">
        <v>3</v>
      </c>
      <c r="O20" s="164">
        <v>1</v>
      </c>
      <c r="P20" s="164">
        <v>2</v>
      </c>
      <c r="Q20" s="164">
        <v>3</v>
      </c>
      <c r="R20" s="164">
        <v>4</v>
      </c>
      <c r="S20" s="164">
        <v>5</v>
      </c>
      <c r="T20" s="164">
        <v>6</v>
      </c>
      <c r="U20" s="164">
        <v>7</v>
      </c>
      <c r="V20" s="164">
        <v>8</v>
      </c>
      <c r="W20" s="164">
        <v>9</v>
      </c>
      <c r="X20" s="164">
        <v>10</v>
      </c>
      <c r="Y20" s="164">
        <v>11</v>
      </c>
      <c r="Z20" s="164">
        <v>12</v>
      </c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</row>
    <row r="21" spans="1:67" ht="27" customHeight="1" outlineLevel="1">
      <c r="A21" s="79" t="e">
        <f>#REF!</f>
        <v>#REF!</v>
      </c>
      <c r="B21" s="80" t="e">
        <f>#REF!</f>
        <v>#REF!</v>
      </c>
      <c r="C21" s="85" t="e">
        <f>IF($E21=0,0,3)</f>
        <v>#REF!</v>
      </c>
      <c r="D21" s="85" t="e">
        <f>IF($E21=0,0,3)</f>
        <v>#REF!</v>
      </c>
      <c r="E21" s="86" t="e">
        <f>#REF!</f>
        <v>#REF!</v>
      </c>
      <c r="F21" s="92" t="e">
        <f>SUM(C21:E21)</f>
        <v>#REF!</v>
      </c>
      <c r="G21" s="23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164">
        <v>1</v>
      </c>
      <c r="AB21" s="164">
        <v>2</v>
      </c>
      <c r="AC21" s="164">
        <v>3</v>
      </c>
      <c r="AD21" s="164">
        <v>1</v>
      </c>
      <c r="AE21" s="164">
        <v>2</v>
      </c>
      <c r="AF21" s="164">
        <v>3</v>
      </c>
      <c r="AG21" s="164">
        <v>4</v>
      </c>
      <c r="AH21" s="164">
        <v>5</v>
      </c>
      <c r="AI21" s="164">
        <v>6</v>
      </c>
      <c r="AJ21" s="164">
        <v>7</v>
      </c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</row>
    <row r="22" spans="1:67" ht="27" customHeight="1" outlineLevel="1">
      <c r="A22" s="1103" t="e">
        <f>#REF!</f>
        <v>#REF!</v>
      </c>
      <c r="B22" s="1158" t="e">
        <f>#REF!</f>
        <v>#REF!</v>
      </c>
      <c r="C22" s="88"/>
      <c r="D22" s="89"/>
      <c r="E22" s="1160"/>
      <c r="F22" s="90"/>
      <c r="G22" s="23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55"/>
      <c r="AB22" s="255"/>
      <c r="AC22" s="255"/>
      <c r="AD22" s="255"/>
      <c r="AE22" s="255"/>
      <c r="AF22" s="255"/>
      <c r="AG22" s="255"/>
      <c r="AH22" s="255"/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</row>
    <row r="23" spans="1:67" ht="27" customHeight="1" outlineLevel="1">
      <c r="A23" s="79" t="e">
        <f>#REF!</f>
        <v>#REF!</v>
      </c>
      <c r="B23" s="80" t="e">
        <f>#REF!</f>
        <v>#REF!</v>
      </c>
      <c r="C23" s="85" t="e">
        <f t="shared" ref="C23:D25" si="2">IF($E23=0,0,3)</f>
        <v>#REF!</v>
      </c>
      <c r="D23" s="85" t="e">
        <f t="shared" si="2"/>
        <v>#REF!</v>
      </c>
      <c r="E23" s="87" t="e">
        <f>#REF!</f>
        <v>#REF!</v>
      </c>
      <c r="F23" s="92" t="e">
        <f>SUM(C23:E23)</f>
        <v>#REF!</v>
      </c>
      <c r="G23" s="23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64">
        <v>1</v>
      </c>
      <c r="AL23" s="164">
        <v>2</v>
      </c>
      <c r="AM23" s="164">
        <v>3</v>
      </c>
      <c r="AN23" s="164">
        <v>1</v>
      </c>
      <c r="AO23" s="164">
        <v>2</v>
      </c>
      <c r="AP23" s="164">
        <v>3</v>
      </c>
      <c r="AQ23" s="164">
        <v>4</v>
      </c>
      <c r="AR23" s="164">
        <v>5</v>
      </c>
      <c r="AS23" s="164">
        <v>6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</row>
    <row r="24" spans="1:67" ht="27" customHeight="1" outlineLevel="1">
      <c r="A24" s="79" t="e">
        <f>#REF!</f>
        <v>#REF!</v>
      </c>
      <c r="B24" s="80" t="e">
        <f>#REF!</f>
        <v>#REF!</v>
      </c>
      <c r="C24" s="85" t="e">
        <f t="shared" si="2"/>
        <v>#REF!</v>
      </c>
      <c r="D24" s="85" t="e">
        <f t="shared" si="2"/>
        <v>#REF!</v>
      </c>
      <c r="E24" s="85" t="e">
        <f>#REF!</f>
        <v>#REF!</v>
      </c>
      <c r="F24" s="92" t="e">
        <f>SUM(C24:E24)</f>
        <v>#REF!</v>
      </c>
      <c r="G24" s="23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164">
        <v>1</v>
      </c>
      <c r="AL24" s="164">
        <v>2</v>
      </c>
      <c r="AM24" s="164">
        <v>3</v>
      </c>
      <c r="AN24" s="164">
        <v>1</v>
      </c>
      <c r="AO24" s="164">
        <v>2</v>
      </c>
      <c r="AP24" s="164">
        <v>3</v>
      </c>
      <c r="AQ24" s="164">
        <v>4</v>
      </c>
      <c r="AR24" s="164">
        <v>5</v>
      </c>
      <c r="AS24" s="164">
        <v>6</v>
      </c>
      <c r="AT24" s="164">
        <v>7</v>
      </c>
      <c r="AU24" s="164">
        <v>8</v>
      </c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</row>
    <row r="25" spans="1:67" ht="27" customHeight="1" outlineLevel="1">
      <c r="A25" s="79" t="e">
        <f>#REF!</f>
        <v>#REF!</v>
      </c>
      <c r="B25" s="80" t="e">
        <f>#REF!</f>
        <v>#REF!</v>
      </c>
      <c r="C25" s="85" t="e">
        <f t="shared" si="2"/>
        <v>#REF!</v>
      </c>
      <c r="D25" s="85" t="e">
        <f t="shared" si="2"/>
        <v>#REF!</v>
      </c>
      <c r="E25" s="86" t="e">
        <f>#REF!</f>
        <v>#REF!</v>
      </c>
      <c r="F25" s="92" t="e">
        <f>SUM(C25:E25)</f>
        <v>#REF!</v>
      </c>
      <c r="G25" s="23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164">
        <v>1</v>
      </c>
      <c r="AL25" s="164">
        <v>2</v>
      </c>
      <c r="AM25" s="164">
        <v>3</v>
      </c>
      <c r="AN25" s="164">
        <v>1</v>
      </c>
      <c r="AO25" s="164">
        <v>2</v>
      </c>
      <c r="AP25" s="164">
        <v>3</v>
      </c>
      <c r="AQ25" s="164">
        <v>4</v>
      </c>
      <c r="AR25" s="164">
        <v>5</v>
      </c>
      <c r="AS25" s="164">
        <v>6</v>
      </c>
      <c r="AT25" s="164">
        <v>7</v>
      </c>
      <c r="AU25" s="164">
        <v>8</v>
      </c>
      <c r="AV25" s="164">
        <v>9</v>
      </c>
      <c r="AW25" s="164">
        <v>10</v>
      </c>
      <c r="AX25" s="164">
        <v>11</v>
      </c>
      <c r="AY25" s="164">
        <v>12</v>
      </c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</row>
    <row r="26" spans="1:67" ht="27" customHeight="1" outlineLevel="1">
      <c r="A26" s="1103" t="e">
        <f>#REF!</f>
        <v>#REF!</v>
      </c>
      <c r="B26" s="1158" t="e">
        <f>#REF!</f>
        <v>#REF!</v>
      </c>
      <c r="C26" s="88"/>
      <c r="D26" s="89"/>
      <c r="E26" s="1160"/>
      <c r="F26" s="90"/>
      <c r="G26" s="23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</row>
    <row r="27" spans="1:67" ht="27" customHeight="1" outlineLevel="1">
      <c r="A27" s="79" t="e">
        <f>#REF!</f>
        <v>#REF!</v>
      </c>
      <c r="B27" s="80" t="e">
        <f>#REF!</f>
        <v>#REF!</v>
      </c>
      <c r="C27" s="85" t="e">
        <f t="shared" ref="C27:D29" si="3">IF($E27=0,0,3)</f>
        <v>#REF!</v>
      </c>
      <c r="D27" s="85" t="e">
        <f t="shared" si="3"/>
        <v>#REF!</v>
      </c>
      <c r="E27" s="85" t="e">
        <f>#REF!</f>
        <v>#REF!</v>
      </c>
      <c r="F27" s="92" t="e">
        <f>SUM(C27:E27)</f>
        <v>#REF!</v>
      </c>
      <c r="G27" s="23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64">
        <v>1</v>
      </c>
      <c r="AB27" s="164">
        <v>2</v>
      </c>
      <c r="AC27" s="164">
        <v>3</v>
      </c>
      <c r="AD27" s="164">
        <v>1</v>
      </c>
      <c r="AE27" s="164">
        <v>2</v>
      </c>
      <c r="AF27" s="164">
        <v>3</v>
      </c>
      <c r="AG27" s="164">
        <v>4</v>
      </c>
      <c r="AH27" s="164">
        <v>5</v>
      </c>
      <c r="AI27" s="164">
        <v>6</v>
      </c>
      <c r="AJ27" s="164">
        <v>7</v>
      </c>
      <c r="AK27" s="164">
        <v>8</v>
      </c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</row>
    <row r="28" spans="1:67" ht="27" customHeight="1" outlineLevel="1">
      <c r="A28" s="79" t="e">
        <f>#REF!</f>
        <v>#REF!</v>
      </c>
      <c r="B28" s="80" t="e">
        <f>#REF!</f>
        <v>#REF!</v>
      </c>
      <c r="C28" s="85" t="e">
        <f t="shared" si="3"/>
        <v>#REF!</v>
      </c>
      <c r="D28" s="85" t="e">
        <f t="shared" si="3"/>
        <v>#REF!</v>
      </c>
      <c r="E28" s="85" t="e">
        <f>#REF!</f>
        <v>#REF!</v>
      </c>
      <c r="F28" s="92" t="e">
        <f>SUM(C28:E28)</f>
        <v>#REF!</v>
      </c>
      <c r="G28" s="23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164">
        <v>1</v>
      </c>
      <c r="AM28" s="164">
        <v>2</v>
      </c>
      <c r="AN28" s="164">
        <v>3</v>
      </c>
      <c r="AO28" s="164">
        <v>1</v>
      </c>
      <c r="AP28" s="164">
        <v>2</v>
      </c>
      <c r="AQ28" s="164">
        <v>3</v>
      </c>
      <c r="AR28" s="164">
        <v>4</v>
      </c>
      <c r="AS28" s="164">
        <v>5</v>
      </c>
      <c r="AT28" s="164">
        <v>6</v>
      </c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</row>
    <row r="29" spans="1:67" ht="27" customHeight="1" outlineLevel="1">
      <c r="A29" s="79" t="e">
        <f>#REF!</f>
        <v>#REF!</v>
      </c>
      <c r="B29" s="80" t="e">
        <f>#REF!</f>
        <v>#REF!</v>
      </c>
      <c r="C29" s="85" t="e">
        <f t="shared" si="3"/>
        <v>#REF!</v>
      </c>
      <c r="D29" s="85" t="e">
        <f t="shared" si="3"/>
        <v>#REF!</v>
      </c>
      <c r="E29" s="85" t="e">
        <f>#REF!</f>
        <v>#REF!</v>
      </c>
      <c r="F29" s="92" t="e">
        <f>SUM(C29:E29)</f>
        <v>#REF!</v>
      </c>
      <c r="G29" s="23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164">
        <v>1</v>
      </c>
      <c r="AM29" s="164">
        <v>2</v>
      </c>
      <c r="AN29" s="164">
        <v>3</v>
      </c>
      <c r="AO29" s="164">
        <v>1</v>
      </c>
      <c r="AP29" s="164">
        <v>2</v>
      </c>
      <c r="AQ29" s="164">
        <v>3</v>
      </c>
      <c r="AR29" s="164">
        <v>4</v>
      </c>
      <c r="AS29" s="164">
        <v>5</v>
      </c>
      <c r="AT29" s="164">
        <v>6</v>
      </c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</row>
    <row r="30" spans="1:67" ht="27" customHeight="1">
      <c r="A30" s="1080" t="e">
        <f>#REF!</f>
        <v>#REF!</v>
      </c>
      <c r="B30" s="1155" t="e">
        <f>#REF!</f>
        <v>#REF!</v>
      </c>
      <c r="C30" s="1156"/>
      <c r="D30" s="1157"/>
      <c r="E30" s="1157"/>
      <c r="F30" s="91"/>
      <c r="G30" s="23"/>
      <c r="H30" s="8"/>
      <c r="I30" s="8"/>
      <c r="J30" s="8"/>
      <c r="K30" s="8"/>
      <c r="L30" s="8"/>
      <c r="M30" s="8"/>
      <c r="N30" s="8"/>
      <c r="O30" s="8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  <c r="BI30" s="165"/>
      <c r="BJ30" s="165"/>
      <c r="BK30" s="165"/>
      <c r="BL30" s="165"/>
      <c r="BM30" s="165"/>
      <c r="BN30" s="165"/>
      <c r="BO30" s="165"/>
    </row>
    <row r="31" spans="1:67" ht="27" customHeight="1" outlineLevel="1">
      <c r="A31" s="1103" t="e">
        <f>#REF!</f>
        <v>#REF!</v>
      </c>
      <c r="B31" s="1158" t="e">
        <f>#REF!</f>
        <v>#REF!</v>
      </c>
      <c r="C31" s="1159"/>
      <c r="D31" s="1160"/>
      <c r="E31" s="1160"/>
      <c r="F31" s="91"/>
      <c r="G31" s="23"/>
      <c r="H31" s="8"/>
      <c r="I31" s="8"/>
      <c r="J31" s="8"/>
      <c r="K31" s="8"/>
      <c r="L31" s="8"/>
      <c r="M31" s="8"/>
      <c r="N31" s="8"/>
      <c r="O31" s="8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5"/>
      <c r="AT31" s="255"/>
      <c r="AU31" s="255"/>
      <c r="AV31" s="255"/>
      <c r="AW31" s="255"/>
      <c r="AX31" s="255"/>
      <c r="AY31" s="255"/>
      <c r="AZ31" s="255"/>
      <c r="BA31" s="255"/>
      <c r="BB31" s="255"/>
      <c r="BC31" s="255"/>
      <c r="BD31" s="255"/>
      <c r="BE31" s="255"/>
      <c r="BF31" s="255"/>
      <c r="BG31" s="255"/>
      <c r="BH31" s="255"/>
      <c r="BI31" s="255"/>
      <c r="BJ31" s="255"/>
      <c r="BK31" s="255"/>
      <c r="BL31" s="8"/>
      <c r="BM31" s="8"/>
      <c r="BN31" s="8"/>
      <c r="BO31" s="8"/>
    </row>
    <row r="32" spans="1:67" ht="27" customHeight="1" outlineLevel="1">
      <c r="A32" s="79" t="e">
        <f>#REF!</f>
        <v>#REF!</v>
      </c>
      <c r="B32" s="80" t="e">
        <f>#REF!</f>
        <v>#REF!</v>
      </c>
      <c r="C32" s="85" t="e">
        <f t="shared" ref="C32:D38" si="4">IF($E32=0,0,3)</f>
        <v>#REF!</v>
      </c>
      <c r="D32" s="85" t="e">
        <f t="shared" si="4"/>
        <v>#REF!</v>
      </c>
      <c r="E32" s="87" t="e">
        <f>#REF!</f>
        <v>#REF!</v>
      </c>
      <c r="F32" s="92" t="e">
        <f t="shared" ref="F32:F38" si="5">SUM(C32:E32)</f>
        <v>#REF!</v>
      </c>
      <c r="G32" s="23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163">
        <v>1</v>
      </c>
      <c r="Z32" s="163">
        <v>2</v>
      </c>
      <c r="AA32" s="163">
        <v>3</v>
      </c>
      <c r="AB32" s="163">
        <v>1</v>
      </c>
      <c r="AC32" s="163">
        <v>2</v>
      </c>
      <c r="AD32" s="163">
        <v>3</v>
      </c>
      <c r="AE32" s="163">
        <v>4</v>
      </c>
      <c r="AF32" s="163">
        <v>5</v>
      </c>
      <c r="AG32" s="163">
        <v>6</v>
      </c>
      <c r="AH32" s="163">
        <v>7</v>
      </c>
      <c r="AI32" s="163">
        <v>8</v>
      </c>
      <c r="AJ32" s="163">
        <v>9</v>
      </c>
      <c r="AK32" s="163">
        <v>10</v>
      </c>
      <c r="AL32" s="163">
        <v>11</v>
      </c>
      <c r="AM32" s="163">
        <v>12</v>
      </c>
      <c r="AN32" s="163">
        <v>13</v>
      </c>
      <c r="AO32" s="163">
        <v>14</v>
      </c>
      <c r="AP32" s="163">
        <v>15</v>
      </c>
      <c r="AQ32" s="163">
        <v>16</v>
      </c>
      <c r="AR32" s="163">
        <v>17</v>
      </c>
      <c r="AS32" s="163">
        <v>18</v>
      </c>
      <c r="AT32" s="163">
        <v>19</v>
      </c>
      <c r="AU32" s="163">
        <v>20</v>
      </c>
      <c r="AV32" s="163">
        <v>21</v>
      </c>
      <c r="AW32" s="163">
        <v>22</v>
      </c>
      <c r="AX32" s="163">
        <v>23</v>
      </c>
      <c r="AY32" s="163">
        <v>24</v>
      </c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</row>
    <row r="33" spans="1:67" ht="27" customHeight="1" outlineLevel="1">
      <c r="A33" s="79" t="e">
        <f>#REF!</f>
        <v>#REF!</v>
      </c>
      <c r="B33" s="80" t="e">
        <f>#REF!</f>
        <v>#REF!</v>
      </c>
      <c r="C33" s="85" t="e">
        <f t="shared" si="4"/>
        <v>#REF!</v>
      </c>
      <c r="D33" s="85" t="e">
        <f t="shared" si="4"/>
        <v>#REF!</v>
      </c>
      <c r="E33" s="85" t="e">
        <f>#REF!</f>
        <v>#REF!</v>
      </c>
      <c r="F33" s="92" t="e">
        <f t="shared" si="5"/>
        <v>#REF!</v>
      </c>
      <c r="G33" s="23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164">
        <v>1</v>
      </c>
      <c r="Z33" s="164">
        <v>2</v>
      </c>
      <c r="AA33" s="164">
        <v>2</v>
      </c>
      <c r="AB33" s="164">
        <v>1</v>
      </c>
      <c r="AC33" s="164">
        <v>2</v>
      </c>
      <c r="AD33" s="164">
        <v>3</v>
      </c>
      <c r="AE33" s="164">
        <v>4</v>
      </c>
      <c r="AF33" s="164">
        <v>5</v>
      </c>
      <c r="AG33" s="164">
        <v>6</v>
      </c>
      <c r="AH33" s="164">
        <v>7</v>
      </c>
      <c r="AI33" s="164">
        <v>8</v>
      </c>
      <c r="AJ33" s="164">
        <v>9</v>
      </c>
      <c r="AK33" s="164">
        <v>10</v>
      </c>
      <c r="AL33" s="164">
        <v>11</v>
      </c>
      <c r="AM33" s="164">
        <v>12</v>
      </c>
      <c r="AN33" s="164">
        <v>13</v>
      </c>
      <c r="AO33" s="164">
        <v>14</v>
      </c>
      <c r="AP33" s="164">
        <v>15</v>
      </c>
      <c r="AQ33" s="164">
        <v>16</v>
      </c>
      <c r="AR33" s="164">
        <v>17</v>
      </c>
      <c r="AS33" s="164">
        <v>18</v>
      </c>
      <c r="AT33" s="164">
        <v>19</v>
      </c>
      <c r="AU33" s="164">
        <v>20</v>
      </c>
      <c r="AV33" s="164">
        <v>21</v>
      </c>
      <c r="AW33" s="164">
        <v>22</v>
      </c>
      <c r="AX33" s="164">
        <v>23</v>
      </c>
      <c r="AY33" s="164">
        <v>24</v>
      </c>
      <c r="AZ33" s="164">
        <v>25</v>
      </c>
      <c r="BA33" s="164">
        <v>26</v>
      </c>
      <c r="BB33" s="164">
        <v>27</v>
      </c>
      <c r="BC33" s="164">
        <v>28</v>
      </c>
      <c r="BD33" s="164">
        <v>29</v>
      </c>
      <c r="BE33" s="164">
        <v>30</v>
      </c>
      <c r="BF33" s="164">
        <v>31</v>
      </c>
      <c r="BG33" s="164">
        <v>32</v>
      </c>
      <c r="BH33" s="164">
        <v>33</v>
      </c>
      <c r="BI33" s="164">
        <v>34</v>
      </c>
      <c r="BJ33" s="164">
        <v>35</v>
      </c>
      <c r="BK33" s="164">
        <v>36</v>
      </c>
      <c r="BL33" s="8"/>
      <c r="BM33" s="8"/>
      <c r="BN33" s="8"/>
      <c r="BO33" s="8"/>
    </row>
    <row r="34" spans="1:67" ht="27" customHeight="1" outlineLevel="1">
      <c r="A34" s="79" t="e">
        <f>#REF!</f>
        <v>#REF!</v>
      </c>
      <c r="B34" s="80" t="e">
        <f>#REF!</f>
        <v>#REF!</v>
      </c>
      <c r="C34" s="85" t="e">
        <f t="shared" si="4"/>
        <v>#REF!</v>
      </c>
      <c r="D34" s="85" t="e">
        <f t="shared" si="4"/>
        <v>#REF!</v>
      </c>
      <c r="E34" s="85" t="e">
        <f>#REF!</f>
        <v>#REF!</v>
      </c>
      <c r="F34" s="92" t="e">
        <f t="shared" si="5"/>
        <v>#REF!</v>
      </c>
      <c r="G34" s="23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164">
        <v>1</v>
      </c>
      <c r="Z34" s="164">
        <v>2</v>
      </c>
      <c r="AA34" s="164">
        <v>3</v>
      </c>
      <c r="AB34" s="164">
        <v>1</v>
      </c>
      <c r="AC34" s="164">
        <v>2</v>
      </c>
      <c r="AD34" s="164">
        <v>3</v>
      </c>
      <c r="AE34" s="164">
        <v>4</v>
      </c>
      <c r="AF34" s="164">
        <v>5</v>
      </c>
      <c r="AG34" s="164">
        <v>6</v>
      </c>
      <c r="AH34" s="164">
        <v>7</v>
      </c>
      <c r="AI34" s="164">
        <v>8</v>
      </c>
      <c r="AJ34" s="164">
        <v>9</v>
      </c>
      <c r="AK34" s="164">
        <v>10</v>
      </c>
      <c r="AL34" s="164">
        <v>11</v>
      </c>
      <c r="AM34" s="164">
        <v>12</v>
      </c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</row>
    <row r="35" spans="1:67" ht="27" customHeight="1" outlineLevel="1">
      <c r="A35" s="79" t="e">
        <f>#REF!</f>
        <v>#REF!</v>
      </c>
      <c r="B35" s="80" t="e">
        <f>#REF!</f>
        <v>#REF!</v>
      </c>
      <c r="C35" s="85" t="e">
        <f t="shared" si="4"/>
        <v>#REF!</v>
      </c>
      <c r="D35" s="85" t="e">
        <f t="shared" si="4"/>
        <v>#REF!</v>
      </c>
      <c r="E35" s="85" t="e">
        <f>#REF!</f>
        <v>#REF!</v>
      </c>
      <c r="F35" s="92" t="e">
        <f t="shared" si="5"/>
        <v>#REF!</v>
      </c>
      <c r="G35" s="23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164">
        <v>1</v>
      </c>
      <c r="Z35" s="164">
        <v>2</v>
      </c>
      <c r="AA35" s="164">
        <v>3</v>
      </c>
      <c r="AB35" s="164">
        <v>1</v>
      </c>
      <c r="AC35" s="164">
        <v>2</v>
      </c>
      <c r="AD35" s="164">
        <v>3</v>
      </c>
      <c r="AE35" s="164">
        <v>4</v>
      </c>
      <c r="AF35" s="164">
        <v>5</v>
      </c>
      <c r="AG35" s="164">
        <v>6</v>
      </c>
      <c r="AH35" s="164">
        <v>7</v>
      </c>
      <c r="AI35" s="164">
        <v>8</v>
      </c>
      <c r="AJ35" s="164">
        <v>9</v>
      </c>
      <c r="AK35" s="164">
        <v>10</v>
      </c>
      <c r="AL35" s="164">
        <v>11</v>
      </c>
      <c r="AM35" s="164">
        <v>12</v>
      </c>
      <c r="AN35" s="164">
        <v>13</v>
      </c>
      <c r="AO35" s="164">
        <v>14</v>
      </c>
      <c r="AP35" s="164">
        <v>15</v>
      </c>
      <c r="AQ35" s="164">
        <v>16</v>
      </c>
      <c r="AR35" s="164">
        <v>17</v>
      </c>
      <c r="AS35" s="164">
        <v>18</v>
      </c>
      <c r="AT35" s="164">
        <v>19</v>
      </c>
      <c r="AU35" s="164">
        <v>20</v>
      </c>
      <c r="AV35" s="164">
        <v>21</v>
      </c>
      <c r="AW35" s="164">
        <v>22</v>
      </c>
      <c r="AX35" s="164">
        <v>23</v>
      </c>
      <c r="AY35" s="164">
        <v>24</v>
      </c>
      <c r="AZ35" s="164">
        <v>25</v>
      </c>
      <c r="BA35" s="164">
        <v>26</v>
      </c>
      <c r="BB35" s="164">
        <v>27</v>
      </c>
      <c r="BC35" s="164">
        <v>28</v>
      </c>
      <c r="BD35" s="164">
        <v>29</v>
      </c>
      <c r="BE35" s="164">
        <v>30</v>
      </c>
      <c r="BF35" s="8"/>
      <c r="BG35" s="8"/>
      <c r="BH35" s="8"/>
      <c r="BI35" s="8"/>
      <c r="BJ35" s="8"/>
      <c r="BK35" s="8"/>
      <c r="BL35" s="8"/>
      <c r="BM35" s="8"/>
      <c r="BN35" s="8"/>
      <c r="BO35" s="8"/>
    </row>
    <row r="36" spans="1:67" ht="27" customHeight="1" outlineLevel="1">
      <c r="A36" s="79" t="e">
        <f>#REF!</f>
        <v>#REF!</v>
      </c>
      <c r="B36" s="80" t="e">
        <f>#REF!</f>
        <v>#REF!</v>
      </c>
      <c r="C36" s="85" t="e">
        <f t="shared" si="4"/>
        <v>#REF!</v>
      </c>
      <c r="D36" s="85" t="e">
        <f t="shared" si="4"/>
        <v>#REF!</v>
      </c>
      <c r="E36" s="85" t="e">
        <f>#REF!</f>
        <v>#REF!</v>
      </c>
      <c r="F36" s="92" t="e">
        <f t="shared" si="5"/>
        <v>#REF!</v>
      </c>
      <c r="G36" s="23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164">
        <v>1</v>
      </c>
      <c r="Z36" s="164">
        <v>2</v>
      </c>
      <c r="AA36" s="164">
        <v>3</v>
      </c>
      <c r="AB36" s="164">
        <v>1</v>
      </c>
      <c r="AC36" s="164">
        <v>2</v>
      </c>
      <c r="AD36" s="164">
        <v>3</v>
      </c>
      <c r="AE36" s="164">
        <v>4</v>
      </c>
      <c r="AF36" s="164">
        <v>5</v>
      </c>
      <c r="AG36" s="164">
        <v>6</v>
      </c>
      <c r="AH36" s="164">
        <v>7</v>
      </c>
      <c r="AI36" s="164">
        <v>8</v>
      </c>
      <c r="AJ36" s="164">
        <v>9</v>
      </c>
      <c r="AK36" s="164">
        <v>10</v>
      </c>
      <c r="AL36" s="164">
        <v>11</v>
      </c>
      <c r="AM36" s="164">
        <v>12</v>
      </c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</row>
    <row r="37" spans="1:67" ht="27" customHeight="1" outlineLevel="1">
      <c r="A37" s="79" t="e">
        <f>#REF!</f>
        <v>#REF!</v>
      </c>
      <c r="B37" s="80" t="e">
        <f>#REF!</f>
        <v>#REF!</v>
      </c>
      <c r="C37" s="85" t="e">
        <f t="shared" si="4"/>
        <v>#REF!</v>
      </c>
      <c r="D37" s="85" t="e">
        <f t="shared" si="4"/>
        <v>#REF!</v>
      </c>
      <c r="E37" s="85" t="e">
        <f>#REF!</f>
        <v>#REF!</v>
      </c>
      <c r="F37" s="92" t="e">
        <f t="shared" si="5"/>
        <v>#REF!</v>
      </c>
      <c r="G37" s="23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164">
        <v>1</v>
      </c>
      <c r="Z37" s="164">
        <v>2</v>
      </c>
      <c r="AA37" s="164">
        <v>3</v>
      </c>
      <c r="AB37" s="164">
        <v>1</v>
      </c>
      <c r="AC37" s="164">
        <v>2</v>
      </c>
      <c r="AD37" s="164">
        <v>3</v>
      </c>
      <c r="AE37" s="164">
        <v>4</v>
      </c>
      <c r="AF37" s="164">
        <v>5</v>
      </c>
      <c r="AG37" s="164">
        <v>6</v>
      </c>
      <c r="AH37" s="164">
        <v>7</v>
      </c>
      <c r="AI37" s="164">
        <v>8</v>
      </c>
      <c r="AJ37" s="164">
        <v>9</v>
      </c>
      <c r="AK37" s="164">
        <v>10</v>
      </c>
      <c r="AL37" s="164">
        <v>11</v>
      </c>
      <c r="AM37" s="164">
        <v>12</v>
      </c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</row>
    <row r="38" spans="1:67" ht="27" customHeight="1" outlineLevel="1">
      <c r="A38" s="79" t="e">
        <f>#REF!</f>
        <v>#REF!</v>
      </c>
      <c r="B38" s="80" t="e">
        <f>#REF!</f>
        <v>#REF!</v>
      </c>
      <c r="C38" s="85" t="e">
        <f t="shared" si="4"/>
        <v>#REF!</v>
      </c>
      <c r="D38" s="85" t="e">
        <f t="shared" si="4"/>
        <v>#REF!</v>
      </c>
      <c r="E38" s="86" t="e">
        <f>#REF!</f>
        <v>#REF!</v>
      </c>
      <c r="F38" s="92" t="e">
        <f t="shared" si="5"/>
        <v>#REF!</v>
      </c>
      <c r="G38" s="23"/>
      <c r="H38" s="8"/>
      <c r="I38" s="8"/>
      <c r="J38" s="8"/>
      <c r="K38" s="8"/>
      <c r="L38" s="8"/>
      <c r="M38" s="8"/>
      <c r="N38" s="8"/>
      <c r="O38" s="8"/>
      <c r="P38" s="164">
        <v>1</v>
      </c>
      <c r="Q38" s="164">
        <v>2</v>
      </c>
      <c r="R38" s="164">
        <v>3</v>
      </c>
      <c r="S38" s="164">
        <v>1</v>
      </c>
      <c r="T38" s="164">
        <v>2</v>
      </c>
      <c r="U38" s="164">
        <v>3</v>
      </c>
      <c r="V38" s="164">
        <v>4</v>
      </c>
      <c r="W38" s="164">
        <v>5</v>
      </c>
      <c r="X38" s="164">
        <v>6</v>
      </c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</row>
    <row r="39" spans="1:67" ht="27" hidden="1" customHeight="1" outlineLevel="1">
      <c r="A39" s="79" t="e">
        <f>#REF!</f>
        <v>#REF!</v>
      </c>
      <c r="B39" s="80" t="e">
        <f>#REF!</f>
        <v>#REF!</v>
      </c>
      <c r="C39" s="178"/>
      <c r="D39" s="85">
        <v>3</v>
      </c>
      <c r="E39" s="85" t="e">
        <f>#REF!</f>
        <v>#REF!</v>
      </c>
      <c r="F39" s="179"/>
      <c r="G39" s="23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164">
        <v>1</v>
      </c>
      <c r="Z39" s="164">
        <v>2</v>
      </c>
      <c r="AA39" s="164">
        <v>3</v>
      </c>
      <c r="AB39" s="164">
        <v>1</v>
      </c>
      <c r="AC39" s="164">
        <v>2</v>
      </c>
      <c r="AD39" s="164">
        <v>3</v>
      </c>
      <c r="AE39" s="164">
        <v>4</v>
      </c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</row>
    <row r="40" spans="1:67" ht="27" hidden="1" customHeight="1" outlineLevel="1">
      <c r="A40" s="79" t="e">
        <f>#REF!</f>
        <v>#REF!</v>
      </c>
      <c r="B40" s="80" t="e">
        <f>#REF!</f>
        <v>#REF!</v>
      </c>
      <c r="C40" s="178"/>
      <c r="D40" s="85">
        <v>3</v>
      </c>
      <c r="E40" s="85" t="e">
        <f>#REF!</f>
        <v>#REF!</v>
      </c>
      <c r="F40" s="179"/>
      <c r="G40" s="23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164">
        <v>1</v>
      </c>
      <c r="AG40" s="164">
        <v>2</v>
      </c>
      <c r="AH40" s="164">
        <v>3</v>
      </c>
      <c r="AI40" s="164">
        <v>1</v>
      </c>
      <c r="AJ40" s="164">
        <v>2</v>
      </c>
      <c r="AK40" s="164">
        <v>3</v>
      </c>
      <c r="AL40" s="164">
        <v>4</v>
      </c>
      <c r="AM40" s="164">
        <v>5</v>
      </c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</row>
    <row r="41" spans="1:67" ht="27" hidden="1" customHeight="1" outlineLevel="1">
      <c r="A41" s="79" t="e">
        <f>#REF!</f>
        <v>#REF!</v>
      </c>
      <c r="B41" s="80" t="e">
        <f>#REF!</f>
        <v>#REF!</v>
      </c>
      <c r="C41" s="178"/>
      <c r="D41" s="85">
        <v>3</v>
      </c>
      <c r="E41" s="85" t="e">
        <f>#REF!</f>
        <v>#REF!</v>
      </c>
      <c r="F41" s="179"/>
      <c r="G41" s="23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164">
        <v>1</v>
      </c>
      <c r="AG41" s="164">
        <v>2</v>
      </c>
      <c r="AH41" s="164">
        <v>3</v>
      </c>
      <c r="AI41" s="164">
        <v>1</v>
      </c>
      <c r="AJ41" s="164">
        <v>2</v>
      </c>
      <c r="AK41" s="164">
        <v>3</v>
      </c>
      <c r="AL41" s="164">
        <v>4</v>
      </c>
      <c r="AM41" s="164">
        <v>5</v>
      </c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</row>
    <row r="42" spans="1:67" ht="33.75" hidden="1" customHeight="1" outlineLevel="1">
      <c r="A42" s="79" t="e">
        <f>#REF!</f>
        <v>#REF!</v>
      </c>
      <c r="B42" s="80" t="e">
        <f>#REF!</f>
        <v>#REF!</v>
      </c>
      <c r="C42" s="178"/>
      <c r="D42" s="85">
        <v>3</v>
      </c>
      <c r="E42" s="85" t="e">
        <f>#REF!</f>
        <v>#REF!</v>
      </c>
      <c r="F42" s="179"/>
      <c r="G42" s="23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164">
        <v>1</v>
      </c>
      <c r="AO42" s="164">
        <v>2</v>
      </c>
      <c r="AP42" s="164">
        <v>3</v>
      </c>
      <c r="AQ42" s="164">
        <v>1</v>
      </c>
      <c r="AR42" s="164">
        <v>2</v>
      </c>
      <c r="AS42" s="164">
        <v>3</v>
      </c>
      <c r="AT42" s="164">
        <v>4</v>
      </c>
      <c r="AU42" s="164">
        <v>5</v>
      </c>
      <c r="AV42" s="164">
        <v>6</v>
      </c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</row>
    <row r="43" spans="1:67" ht="39" customHeight="1" outlineLevel="1">
      <c r="A43" s="79" t="e">
        <f>#REF!</f>
        <v>#REF!</v>
      </c>
      <c r="B43" s="80" t="e">
        <f>#REF!</f>
        <v>#REF!</v>
      </c>
      <c r="C43" s="178"/>
      <c r="D43" s="85">
        <v>3</v>
      </c>
      <c r="E43" s="85" t="e">
        <f>#REF!</f>
        <v>#REF!</v>
      </c>
      <c r="F43" s="179"/>
      <c r="G43" s="23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164">
        <v>1</v>
      </c>
      <c r="AO43" s="164">
        <v>2</v>
      </c>
      <c r="AP43" s="164">
        <v>3</v>
      </c>
      <c r="AQ43" s="164">
        <v>1</v>
      </c>
      <c r="AR43" s="164">
        <v>2</v>
      </c>
      <c r="AS43" s="164">
        <v>3</v>
      </c>
      <c r="AT43" s="164">
        <v>4</v>
      </c>
      <c r="AU43" s="164">
        <v>5</v>
      </c>
      <c r="AV43" s="164">
        <v>6</v>
      </c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</row>
    <row r="44" spans="1:67" ht="27" customHeight="1" outlineLevel="1">
      <c r="A44" s="1103" t="e">
        <f>#REF!</f>
        <v>#REF!</v>
      </c>
      <c r="B44" s="1158" t="e">
        <f>#REF!</f>
        <v>#REF!</v>
      </c>
      <c r="C44" s="88"/>
      <c r="D44" s="89"/>
      <c r="E44" s="1160"/>
      <c r="F44" s="90"/>
      <c r="G44" s="23"/>
      <c r="H44" s="8"/>
      <c r="I44" s="8"/>
      <c r="J44" s="8"/>
      <c r="K44" s="8"/>
      <c r="L44" s="8"/>
      <c r="M44" s="8"/>
      <c r="N44" s="8"/>
      <c r="O44" s="8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55"/>
      <c r="BA44" s="255"/>
      <c r="BB44" s="255"/>
      <c r="BC44" s="255"/>
      <c r="BD44" s="255"/>
      <c r="BE44" s="255"/>
      <c r="BF44" s="8"/>
      <c r="BG44" s="8"/>
      <c r="BH44" s="8"/>
      <c r="BI44" s="8"/>
      <c r="BJ44" s="8"/>
      <c r="BK44" s="8"/>
      <c r="BL44" s="8"/>
      <c r="BM44" s="8"/>
      <c r="BN44" s="8"/>
      <c r="BO44" s="8"/>
    </row>
    <row r="45" spans="1:67" ht="27" customHeight="1" outlineLevel="1">
      <c r="A45" s="79" t="e">
        <f>#REF!</f>
        <v>#REF!</v>
      </c>
      <c r="B45" s="80" t="e">
        <f>#REF!</f>
        <v>#REF!</v>
      </c>
      <c r="C45" s="85" t="e">
        <f t="shared" ref="C45:D54" si="6">IF($E45=0,0,3)</f>
        <v>#REF!</v>
      </c>
      <c r="D45" s="85" t="e">
        <f t="shared" si="6"/>
        <v>#REF!</v>
      </c>
      <c r="E45" s="85" t="e">
        <f>#REF!</f>
        <v>#REF!</v>
      </c>
      <c r="F45" s="92" t="e">
        <f>SUM(C45:E45)</f>
        <v>#REF!</v>
      </c>
      <c r="G45" s="23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164">
        <v>1</v>
      </c>
      <c r="X45" s="164">
        <v>2</v>
      </c>
      <c r="Y45" s="164">
        <v>3</v>
      </c>
      <c r="Z45" s="164">
        <v>1</v>
      </c>
      <c r="AA45" s="164">
        <v>2</v>
      </c>
      <c r="AB45" s="164">
        <v>3</v>
      </c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</row>
    <row r="46" spans="1:67" ht="41.25" customHeight="1" outlineLevel="1">
      <c r="A46" s="79" t="e">
        <f>#REF!</f>
        <v>#REF!</v>
      </c>
      <c r="B46" s="80" t="e">
        <f>#REF!</f>
        <v>#REF!</v>
      </c>
      <c r="C46" s="85" t="e">
        <f t="shared" si="6"/>
        <v>#REF!</v>
      </c>
      <c r="D46" s="85" t="e">
        <f t="shared" si="6"/>
        <v>#REF!</v>
      </c>
      <c r="E46" s="85" t="e">
        <f>#REF!</f>
        <v>#REF!</v>
      </c>
      <c r="F46" s="92" t="e">
        <f>SUM(C46:E46)</f>
        <v>#REF!</v>
      </c>
      <c r="G46" s="23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164">
        <v>1</v>
      </c>
      <c r="AD46" s="164">
        <v>2</v>
      </c>
      <c r="AE46" s="164">
        <v>3</v>
      </c>
      <c r="AF46" s="164">
        <v>1</v>
      </c>
      <c r="AG46" s="164">
        <v>2</v>
      </c>
      <c r="AH46" s="164">
        <v>3</v>
      </c>
      <c r="AI46" s="164">
        <v>4</v>
      </c>
      <c r="AJ46" s="164">
        <v>5</v>
      </c>
      <c r="AK46" s="164">
        <v>6</v>
      </c>
      <c r="AL46" s="164">
        <v>7</v>
      </c>
      <c r="AM46" s="164">
        <v>8</v>
      </c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</row>
    <row r="47" spans="1:67" ht="27" customHeight="1" outlineLevel="1">
      <c r="A47" s="79" t="e">
        <f>#REF!</f>
        <v>#REF!</v>
      </c>
      <c r="B47" s="80" t="e">
        <f>#REF!</f>
        <v>#REF!</v>
      </c>
      <c r="C47" s="85" t="e">
        <f t="shared" si="6"/>
        <v>#REF!</v>
      </c>
      <c r="D47" s="85" t="e">
        <f t="shared" si="6"/>
        <v>#REF!</v>
      </c>
      <c r="E47" s="85" t="e">
        <f>#REF!</f>
        <v>#REF!</v>
      </c>
      <c r="F47" s="179"/>
      <c r="G47" s="23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164">
        <v>1</v>
      </c>
      <c r="X47" s="164">
        <v>2</v>
      </c>
      <c r="Y47" s="164">
        <v>3</v>
      </c>
      <c r="Z47" s="164">
        <v>1</v>
      </c>
      <c r="AA47" s="164">
        <v>2</v>
      </c>
      <c r="AB47" s="164">
        <v>3</v>
      </c>
      <c r="AC47" s="164">
        <v>4</v>
      </c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</row>
    <row r="48" spans="1:67" ht="39.75" customHeight="1" outlineLevel="1">
      <c r="A48" s="79" t="e">
        <f>#REF!</f>
        <v>#REF!</v>
      </c>
      <c r="B48" s="80" t="e">
        <f>#REF!</f>
        <v>#REF!</v>
      </c>
      <c r="C48" s="85" t="e">
        <f t="shared" si="6"/>
        <v>#REF!</v>
      </c>
      <c r="D48" s="85" t="e">
        <f t="shared" si="6"/>
        <v>#REF!</v>
      </c>
      <c r="E48" s="85" t="e">
        <f>#REF!</f>
        <v>#REF!</v>
      </c>
      <c r="F48" s="92" t="e">
        <f>SUM(C48:E48)</f>
        <v>#REF!</v>
      </c>
      <c r="G48" s="23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164">
        <v>1</v>
      </c>
      <c r="AO48" s="164">
        <v>2</v>
      </c>
      <c r="AP48" s="164">
        <v>3</v>
      </c>
      <c r="AQ48" s="164">
        <v>1</v>
      </c>
      <c r="AR48" s="164">
        <v>2</v>
      </c>
      <c r="AS48" s="164">
        <v>3</v>
      </c>
      <c r="AT48" s="164">
        <v>4</v>
      </c>
      <c r="AU48" s="164">
        <v>5</v>
      </c>
      <c r="AV48" s="164">
        <v>6</v>
      </c>
      <c r="AW48" s="164">
        <v>7</v>
      </c>
      <c r="AX48" s="164">
        <v>8</v>
      </c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</row>
    <row r="49" spans="1:67" ht="36" customHeight="1" outlineLevel="1">
      <c r="A49" s="79" t="e">
        <f>#REF!</f>
        <v>#REF!</v>
      </c>
      <c r="B49" s="80" t="e">
        <f>#REF!</f>
        <v>#REF!</v>
      </c>
      <c r="C49" s="85" t="e">
        <f t="shared" si="6"/>
        <v>#REF!</v>
      </c>
      <c r="D49" s="85" t="e">
        <f t="shared" si="6"/>
        <v>#REF!</v>
      </c>
      <c r="E49" s="85" t="e">
        <f>#REF!</f>
        <v>#REF!</v>
      </c>
      <c r="F49" s="179"/>
      <c r="G49" s="23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164">
        <v>1</v>
      </c>
      <c r="AE49" s="164">
        <v>2</v>
      </c>
      <c r="AF49" s="164">
        <v>3</v>
      </c>
      <c r="AG49" s="164">
        <v>1</v>
      </c>
      <c r="AH49" s="164">
        <v>2</v>
      </c>
      <c r="AI49" s="164">
        <v>3</v>
      </c>
      <c r="AJ49" s="164">
        <v>4</v>
      </c>
      <c r="AK49" s="164">
        <v>5</v>
      </c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</row>
    <row r="50" spans="1:67" ht="27" customHeight="1" outlineLevel="1">
      <c r="A50" s="79" t="e">
        <f>#REF!</f>
        <v>#REF!</v>
      </c>
      <c r="B50" s="80" t="e">
        <f>#REF!</f>
        <v>#REF!</v>
      </c>
      <c r="C50" s="85" t="e">
        <f t="shared" si="6"/>
        <v>#REF!</v>
      </c>
      <c r="D50" s="85" t="e">
        <f t="shared" si="6"/>
        <v>#REF!</v>
      </c>
      <c r="E50" s="85" t="e">
        <f>#REF!</f>
        <v>#REF!</v>
      </c>
      <c r="F50" s="179"/>
      <c r="G50" s="23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164">
        <v>1</v>
      </c>
      <c r="AU50" s="164">
        <v>2</v>
      </c>
      <c r="AV50" s="164">
        <v>3</v>
      </c>
      <c r="AW50" s="164">
        <v>1</v>
      </c>
      <c r="AX50" s="164">
        <v>2</v>
      </c>
      <c r="AY50" s="164">
        <v>3</v>
      </c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</row>
    <row r="51" spans="1:67" ht="27" customHeight="1" outlineLevel="1">
      <c r="A51" s="79" t="e">
        <f>#REF!</f>
        <v>#REF!</v>
      </c>
      <c r="B51" s="80" t="e">
        <f>#REF!</f>
        <v>#REF!</v>
      </c>
      <c r="C51" s="85" t="e">
        <f t="shared" si="6"/>
        <v>#REF!</v>
      </c>
      <c r="D51" s="85" t="e">
        <f t="shared" si="6"/>
        <v>#REF!</v>
      </c>
      <c r="E51" s="85" t="e">
        <f>#REF!</f>
        <v>#REF!</v>
      </c>
      <c r="F51" s="92" t="e">
        <f>SUM(C51:E51)</f>
        <v>#REF!</v>
      </c>
      <c r="G51" s="23"/>
      <c r="H51" s="8"/>
      <c r="I51" s="8"/>
      <c r="J51" s="8"/>
      <c r="K51" s="8"/>
      <c r="L51" s="8"/>
      <c r="M51" s="8"/>
      <c r="N51" s="8"/>
      <c r="O51" s="8"/>
      <c r="P51" s="164">
        <v>1</v>
      </c>
      <c r="Q51" s="164">
        <v>2</v>
      </c>
      <c r="R51" s="164">
        <v>3</v>
      </c>
      <c r="S51" s="164">
        <v>1</v>
      </c>
      <c r="T51" s="164">
        <v>2</v>
      </c>
      <c r="U51" s="164">
        <v>3</v>
      </c>
      <c r="V51" s="164">
        <v>4</v>
      </c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</row>
    <row r="52" spans="1:67" ht="27" customHeight="1" outlineLevel="1">
      <c r="A52" s="79" t="e">
        <f>#REF!</f>
        <v>#REF!</v>
      </c>
      <c r="B52" s="80" t="e">
        <f>#REF!</f>
        <v>#REF!</v>
      </c>
      <c r="C52" s="85" t="e">
        <f t="shared" si="6"/>
        <v>#REF!</v>
      </c>
      <c r="D52" s="85" t="e">
        <f t="shared" si="6"/>
        <v>#REF!</v>
      </c>
      <c r="E52" s="85" t="e">
        <f>#REF!</f>
        <v>#REF!</v>
      </c>
      <c r="F52" s="179"/>
      <c r="G52" s="23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164">
        <v>1</v>
      </c>
      <c r="AM52" s="164">
        <v>2</v>
      </c>
      <c r="AN52" s="164">
        <v>3</v>
      </c>
      <c r="AO52" s="164">
        <v>1</v>
      </c>
      <c r="AP52" s="164">
        <v>2</v>
      </c>
      <c r="AQ52" s="164">
        <v>3</v>
      </c>
      <c r="AR52" s="164">
        <v>4</v>
      </c>
      <c r="AS52" s="164">
        <v>5</v>
      </c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</row>
    <row r="53" spans="1:67" ht="27" customHeight="1" outlineLevel="1">
      <c r="A53" s="79" t="e">
        <f>#REF!</f>
        <v>#REF!</v>
      </c>
      <c r="B53" s="80" t="e">
        <f>#REF!</f>
        <v>#REF!</v>
      </c>
      <c r="C53" s="85" t="e">
        <f t="shared" si="6"/>
        <v>#REF!</v>
      </c>
      <c r="D53" s="85" t="e">
        <f t="shared" si="6"/>
        <v>#REF!</v>
      </c>
      <c r="E53" s="85" t="e">
        <f>#REF!</f>
        <v>#REF!</v>
      </c>
      <c r="F53" s="179"/>
      <c r="G53" s="23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164">
        <v>1</v>
      </c>
      <c r="AU53" s="164">
        <v>2</v>
      </c>
      <c r="AV53" s="164">
        <v>3</v>
      </c>
      <c r="AW53" s="164">
        <v>1</v>
      </c>
      <c r="AX53" s="164">
        <v>2</v>
      </c>
      <c r="AY53" s="164">
        <v>3</v>
      </c>
      <c r="AZ53" s="164">
        <v>4</v>
      </c>
      <c r="BA53" s="164">
        <v>5</v>
      </c>
      <c r="BB53" s="164">
        <v>6</v>
      </c>
      <c r="BC53" s="164">
        <v>7</v>
      </c>
      <c r="BD53" s="164">
        <v>8</v>
      </c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</row>
    <row r="54" spans="1:67" ht="27" customHeight="1" outlineLevel="1">
      <c r="A54" s="79" t="e">
        <f>#REF!</f>
        <v>#REF!</v>
      </c>
      <c r="B54" s="80" t="e">
        <f>#REF!</f>
        <v>#REF!</v>
      </c>
      <c r="C54" s="85" t="e">
        <f t="shared" si="6"/>
        <v>#REF!</v>
      </c>
      <c r="D54" s="85" t="e">
        <f t="shared" si="6"/>
        <v>#REF!</v>
      </c>
      <c r="E54" s="85" t="e">
        <f>#REF!</f>
        <v>#REF!</v>
      </c>
      <c r="F54" s="92" t="e">
        <f>SUM(C54:E54)</f>
        <v>#REF!</v>
      </c>
      <c r="G54" s="23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164">
        <v>1</v>
      </c>
      <c r="AZ54" s="164">
        <v>2</v>
      </c>
      <c r="BA54" s="164">
        <v>3</v>
      </c>
      <c r="BB54" s="164">
        <v>1</v>
      </c>
      <c r="BC54" s="164">
        <v>2</v>
      </c>
      <c r="BD54" s="164">
        <v>3</v>
      </c>
      <c r="BE54" s="164">
        <v>4</v>
      </c>
      <c r="BF54" s="8"/>
      <c r="BG54" s="8"/>
      <c r="BH54" s="8"/>
      <c r="BI54" s="8"/>
      <c r="BJ54" s="8"/>
      <c r="BK54" s="8"/>
      <c r="BL54" s="8"/>
      <c r="BM54" s="8"/>
      <c r="BN54" s="8"/>
      <c r="BO54" s="8"/>
    </row>
    <row r="55" spans="1:67" hidden="1" outlineLevel="1">
      <c r="A55" s="760"/>
      <c r="B55" s="760"/>
      <c r="C55" s="760"/>
      <c r="D55" s="760"/>
      <c r="E55" s="760"/>
      <c r="F55" s="760"/>
      <c r="G55" s="760"/>
      <c r="H55" s="760"/>
      <c r="I55" s="760"/>
      <c r="J55" s="760"/>
      <c r="K55" s="760"/>
      <c r="L55" s="760"/>
      <c r="M55" s="760"/>
      <c r="N55" s="760"/>
      <c r="O55" s="760"/>
      <c r="P55" s="760"/>
      <c r="Q55" s="760"/>
      <c r="R55" s="760"/>
      <c r="S55" s="760"/>
      <c r="T55" s="760"/>
      <c r="U55" s="760"/>
      <c r="V55" s="760"/>
      <c r="W55" s="760"/>
      <c r="X55" s="760"/>
      <c r="Y55" s="760"/>
      <c r="Z55" s="760"/>
      <c r="AA55" s="760"/>
      <c r="AB55" s="760"/>
      <c r="AC55" s="760"/>
      <c r="AD55" s="760"/>
      <c r="AE55" s="760"/>
      <c r="AF55" s="760"/>
      <c r="AG55" s="760"/>
      <c r="AH55" s="760"/>
      <c r="AI55" s="760"/>
      <c r="AJ55" s="760"/>
      <c r="AK55" s="760"/>
      <c r="AL55" s="760"/>
      <c r="AM55" s="760"/>
      <c r="AN55" s="760"/>
      <c r="AO55" s="760"/>
      <c r="AP55" s="760"/>
      <c r="AQ55" s="760"/>
      <c r="AR55" s="760"/>
      <c r="AS55" s="760"/>
      <c r="AT55" s="760"/>
      <c r="AU55" s="760"/>
      <c r="AV55" s="760"/>
      <c r="AW55" s="760"/>
      <c r="AX55" s="760"/>
      <c r="AY55" s="760"/>
      <c r="AZ55" s="760"/>
      <c r="BA55" s="760"/>
      <c r="BB55" s="760"/>
      <c r="BC55" s="760"/>
      <c r="BD55" s="760"/>
      <c r="BE55" s="760"/>
      <c r="BF55" s="760"/>
      <c r="BG55" s="760"/>
      <c r="BH55" s="760"/>
      <c r="BI55" s="760"/>
      <c r="BJ55" s="760"/>
      <c r="BK55" s="760"/>
      <c r="BL55" s="760"/>
      <c r="BM55" s="760"/>
      <c r="BN55" s="760"/>
      <c r="BO55" s="760"/>
    </row>
    <row r="56" spans="1:67" ht="27" hidden="1" customHeight="1" outlineLevel="1">
      <c r="A56" s="1103" t="e">
        <f>#REF!</f>
        <v>#REF!</v>
      </c>
      <c r="B56" s="1158" t="e">
        <f>#REF!</f>
        <v>#REF!</v>
      </c>
      <c r="C56" s="88"/>
      <c r="D56" s="89"/>
      <c r="E56" s="1160"/>
      <c r="F56" s="90"/>
      <c r="G56" s="23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255"/>
      <c r="AM56" s="255"/>
      <c r="AN56" s="255"/>
      <c r="AO56" s="255"/>
      <c r="AP56" s="255"/>
      <c r="AQ56" s="255"/>
      <c r="AR56" s="255"/>
      <c r="AS56" s="255"/>
      <c r="AT56" s="255"/>
      <c r="AU56" s="255"/>
      <c r="AV56" s="255"/>
      <c r="AW56" s="255"/>
      <c r="AX56" s="255"/>
      <c r="AY56" s="255"/>
      <c r="AZ56" s="255"/>
      <c r="BA56" s="255"/>
      <c r="BB56" s="255"/>
      <c r="BC56" s="255"/>
      <c r="BD56" s="255"/>
      <c r="BE56" s="255"/>
      <c r="BF56" s="255"/>
      <c r="BG56" s="255"/>
      <c r="BH56" s="255"/>
      <c r="BI56" s="255"/>
      <c r="BJ56" s="255"/>
      <c r="BK56" s="255"/>
      <c r="BL56" s="255"/>
      <c r="BM56" s="255"/>
      <c r="BN56" s="255"/>
      <c r="BO56" s="255"/>
    </row>
    <row r="57" spans="1:67" ht="37.5" customHeight="1" outlineLevel="1">
      <c r="A57" s="79" t="e">
        <f>#REF!</f>
        <v>#REF!</v>
      </c>
      <c r="B57" s="80" t="e">
        <f>#REF!</f>
        <v>#REF!</v>
      </c>
      <c r="C57" s="85" t="e">
        <f t="shared" ref="C57:D61" si="7">IF($E57=0,0,3)</f>
        <v>#REF!</v>
      </c>
      <c r="D57" s="85" t="e">
        <f t="shared" si="7"/>
        <v>#REF!</v>
      </c>
      <c r="E57" s="85" t="e">
        <f>#REF!</f>
        <v>#REF!</v>
      </c>
      <c r="F57" s="92" t="e">
        <f>SUM(C57:E57)</f>
        <v>#REF!</v>
      </c>
      <c r="G57" s="23"/>
      <c r="H57" s="93"/>
      <c r="I57" s="93"/>
      <c r="J57" s="93"/>
      <c r="K57" s="93"/>
      <c r="L57" s="93"/>
      <c r="M57" s="93"/>
      <c r="N57" s="93"/>
      <c r="O57" s="93"/>
      <c r="P57" s="93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163">
        <v>1</v>
      </c>
      <c r="AM57" s="163">
        <v>2</v>
      </c>
      <c r="AN57" s="163">
        <v>3</v>
      </c>
      <c r="AO57" s="163">
        <v>1</v>
      </c>
      <c r="AP57" s="163">
        <v>2</v>
      </c>
      <c r="AQ57" s="163">
        <v>3</v>
      </c>
      <c r="AR57" s="164">
        <v>4</v>
      </c>
      <c r="AS57" s="163">
        <v>5</v>
      </c>
      <c r="AT57" s="163">
        <v>6</v>
      </c>
      <c r="AU57" s="163">
        <v>7</v>
      </c>
      <c r="AV57" s="164">
        <v>8</v>
      </c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</row>
    <row r="58" spans="1:67" ht="27" customHeight="1" outlineLevel="1">
      <c r="A58" s="79" t="e">
        <f>#REF!</f>
        <v>#REF!</v>
      </c>
      <c r="B58" s="80" t="e">
        <f>#REF!</f>
        <v>#REF!</v>
      </c>
      <c r="C58" s="85" t="e">
        <f t="shared" si="7"/>
        <v>#REF!</v>
      </c>
      <c r="D58" s="85" t="e">
        <f t="shared" si="7"/>
        <v>#REF!</v>
      </c>
      <c r="E58" s="85" t="e">
        <f>#REF!</f>
        <v>#REF!</v>
      </c>
      <c r="F58" s="92" t="e">
        <f>SUM(C58:E58)</f>
        <v>#REF!</v>
      </c>
      <c r="G58" s="23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163">
        <v>1</v>
      </c>
      <c r="AM58" s="163">
        <v>2</v>
      </c>
      <c r="AN58" s="163">
        <v>3</v>
      </c>
      <c r="AO58" s="163">
        <v>1</v>
      </c>
      <c r="AP58" s="163">
        <v>2</v>
      </c>
      <c r="AQ58" s="163">
        <v>3</v>
      </c>
      <c r="AR58" s="164">
        <v>4</v>
      </c>
      <c r="AS58" s="163">
        <v>5</v>
      </c>
      <c r="AT58" s="163">
        <v>6</v>
      </c>
      <c r="AU58" s="163">
        <v>7</v>
      </c>
      <c r="AV58" s="164">
        <v>8</v>
      </c>
      <c r="AW58" s="163">
        <v>9</v>
      </c>
      <c r="AX58" s="163">
        <v>10</v>
      </c>
      <c r="AY58" s="163">
        <v>11</v>
      </c>
      <c r="AZ58" s="164">
        <v>12</v>
      </c>
      <c r="BA58" s="163">
        <v>13</v>
      </c>
      <c r="BB58" s="163">
        <v>14</v>
      </c>
      <c r="BC58" s="163">
        <v>15</v>
      </c>
      <c r="BD58" s="164">
        <v>16</v>
      </c>
      <c r="BE58" s="163">
        <v>17</v>
      </c>
      <c r="BF58" s="163">
        <v>18</v>
      </c>
      <c r="BG58" s="163">
        <v>19</v>
      </c>
      <c r="BH58" s="8"/>
      <c r="BI58" s="8"/>
      <c r="BJ58" s="8"/>
      <c r="BK58" s="8"/>
      <c r="BL58" s="8"/>
      <c r="BM58" s="8"/>
      <c r="BN58" s="8"/>
      <c r="BO58" s="8"/>
    </row>
    <row r="59" spans="1:67" ht="27" customHeight="1" outlineLevel="1">
      <c r="A59" s="79" t="e">
        <f>#REF!</f>
        <v>#REF!</v>
      </c>
      <c r="B59" s="80" t="e">
        <f>#REF!</f>
        <v>#REF!</v>
      </c>
      <c r="C59" s="85" t="e">
        <f t="shared" si="7"/>
        <v>#REF!</v>
      </c>
      <c r="D59" s="85" t="e">
        <f t="shared" si="7"/>
        <v>#REF!</v>
      </c>
      <c r="E59" s="85" t="e">
        <f>#REF!</f>
        <v>#REF!</v>
      </c>
      <c r="F59" s="92" t="e">
        <f>SUM(C59:E59)</f>
        <v>#REF!</v>
      </c>
      <c r="G59" s="23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163">
        <v>1</v>
      </c>
      <c r="AM59" s="163">
        <v>2</v>
      </c>
      <c r="AN59" s="163">
        <v>3</v>
      </c>
      <c r="AO59" s="163">
        <v>1</v>
      </c>
      <c r="AP59" s="163">
        <v>2</v>
      </c>
      <c r="AQ59" s="163">
        <v>3</v>
      </c>
      <c r="AR59" s="164">
        <v>4</v>
      </c>
      <c r="AS59" s="163">
        <v>5</v>
      </c>
      <c r="AT59" s="163">
        <v>6</v>
      </c>
      <c r="AU59" s="163">
        <v>7</v>
      </c>
      <c r="AV59" s="164">
        <v>8</v>
      </c>
      <c r="AW59" s="163">
        <v>9</v>
      </c>
      <c r="AX59" s="163">
        <v>10</v>
      </c>
      <c r="AY59" s="163">
        <v>11</v>
      </c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</row>
    <row r="60" spans="1:67" ht="27" customHeight="1" outlineLevel="1">
      <c r="A60" s="79" t="e">
        <f>#REF!</f>
        <v>#REF!</v>
      </c>
      <c r="B60" s="80" t="e">
        <f>#REF!</f>
        <v>#REF!</v>
      </c>
      <c r="C60" s="85" t="e">
        <f t="shared" si="7"/>
        <v>#REF!</v>
      </c>
      <c r="D60" s="85" t="e">
        <f t="shared" si="7"/>
        <v>#REF!</v>
      </c>
      <c r="E60" s="85" t="e">
        <f>#REF!</f>
        <v>#REF!</v>
      </c>
      <c r="F60" s="92" t="e">
        <f>SUM(C60:E60)</f>
        <v>#REF!</v>
      </c>
      <c r="G60" s="23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164">
        <v>1</v>
      </c>
      <c r="AT60" s="164">
        <v>2</v>
      </c>
      <c r="AU60" s="164">
        <v>3</v>
      </c>
      <c r="AV60" s="164">
        <v>1</v>
      </c>
      <c r="AW60" s="164">
        <v>2</v>
      </c>
      <c r="AX60" s="164">
        <v>3</v>
      </c>
      <c r="AY60" s="164">
        <v>4</v>
      </c>
      <c r="AZ60" s="164">
        <v>5</v>
      </c>
      <c r="BA60" s="164">
        <v>6</v>
      </c>
      <c r="BB60" s="164">
        <v>7</v>
      </c>
      <c r="BC60" s="164">
        <v>8</v>
      </c>
      <c r="BD60" s="164">
        <v>9</v>
      </c>
      <c r="BE60" s="164">
        <v>10</v>
      </c>
      <c r="BF60" s="164">
        <v>11</v>
      </c>
      <c r="BG60" s="164">
        <v>12</v>
      </c>
      <c r="BH60" s="164">
        <v>13</v>
      </c>
      <c r="BI60" s="164">
        <v>14</v>
      </c>
      <c r="BJ60" s="164">
        <v>15</v>
      </c>
      <c r="BK60" s="164">
        <v>16</v>
      </c>
      <c r="BL60" s="164">
        <v>17</v>
      </c>
      <c r="BM60" s="164">
        <v>18</v>
      </c>
      <c r="BN60" s="8"/>
      <c r="BO60" s="8"/>
    </row>
    <row r="61" spans="1:67" ht="36" customHeight="1" outlineLevel="1">
      <c r="A61" s="79" t="e">
        <f>#REF!</f>
        <v>#REF!</v>
      </c>
      <c r="B61" s="80" t="e">
        <f>#REF!</f>
        <v>#REF!</v>
      </c>
      <c r="C61" s="85" t="e">
        <f t="shared" si="7"/>
        <v>#REF!</v>
      </c>
      <c r="D61" s="85" t="e">
        <f t="shared" si="7"/>
        <v>#REF!</v>
      </c>
      <c r="E61" s="152" t="e">
        <f>#REF!</f>
        <v>#REF!</v>
      </c>
      <c r="F61" s="179"/>
      <c r="G61" s="23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164">
        <v>1</v>
      </c>
      <c r="BK61" s="164">
        <v>2</v>
      </c>
      <c r="BL61" s="164">
        <v>3</v>
      </c>
      <c r="BM61" s="164">
        <v>1</v>
      </c>
      <c r="BN61" s="164">
        <v>2</v>
      </c>
      <c r="BO61" s="164">
        <v>3</v>
      </c>
    </row>
    <row r="62" spans="1:67" ht="27" hidden="1" customHeight="1" outlineLevel="1">
      <c r="A62" s="1108" t="e">
        <f>#REF!</f>
        <v>#REF!</v>
      </c>
      <c r="B62" s="1158" t="e">
        <f>#REF!</f>
        <v>#REF!</v>
      </c>
      <c r="C62" s="88"/>
      <c r="D62" s="89"/>
      <c r="E62" s="1160"/>
      <c r="F62" s="90"/>
      <c r="G62" s="23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</row>
    <row r="63" spans="1:67" ht="27" customHeight="1" outlineLevel="1">
      <c r="A63" s="79" t="e">
        <f>#REF!</f>
        <v>#REF!</v>
      </c>
      <c r="B63" s="80" t="e">
        <f>#REF!</f>
        <v>#REF!</v>
      </c>
      <c r="C63" s="85" t="e">
        <f t="shared" ref="C63:D66" si="8">IF($E63=0,0,3)</f>
        <v>#REF!</v>
      </c>
      <c r="D63" s="85" t="e">
        <f t="shared" si="8"/>
        <v>#REF!</v>
      </c>
      <c r="E63" s="85" t="e">
        <f>#REF!</f>
        <v>#REF!</v>
      </c>
      <c r="F63" s="92" t="e">
        <f>SUM(C63:E63)</f>
        <v>#REF!</v>
      </c>
      <c r="G63" s="23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164">
        <v>1</v>
      </c>
      <c r="AX63" s="164">
        <v>2</v>
      </c>
      <c r="AY63" s="164">
        <v>3</v>
      </c>
      <c r="AZ63" s="164">
        <v>1</v>
      </c>
      <c r="BA63" s="164">
        <v>2</v>
      </c>
      <c r="BB63" s="164">
        <v>3</v>
      </c>
      <c r="BC63" s="164">
        <v>4</v>
      </c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</row>
    <row r="64" spans="1:67" ht="27" customHeight="1" outlineLevel="1">
      <c r="A64" s="79" t="e">
        <f>#REF!</f>
        <v>#REF!</v>
      </c>
      <c r="B64" s="80" t="e">
        <f>#REF!</f>
        <v>#REF!</v>
      </c>
      <c r="C64" s="85" t="e">
        <f t="shared" si="8"/>
        <v>#REF!</v>
      </c>
      <c r="D64" s="85" t="e">
        <f t="shared" si="8"/>
        <v>#REF!</v>
      </c>
      <c r="E64" s="85" t="e">
        <f>#REF!</f>
        <v>#REF!</v>
      </c>
      <c r="F64" s="92" t="e">
        <f>SUM(C64:E64)</f>
        <v>#REF!</v>
      </c>
      <c r="G64" s="23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164">
        <v>1</v>
      </c>
      <c r="BJ64" s="164">
        <v>2</v>
      </c>
      <c r="BK64" s="164">
        <v>3</v>
      </c>
      <c r="BL64" s="164">
        <v>1</v>
      </c>
      <c r="BM64" s="164">
        <v>2</v>
      </c>
      <c r="BN64" s="164">
        <v>3</v>
      </c>
      <c r="BO64" s="164">
        <v>4</v>
      </c>
    </row>
    <row r="65" spans="1:67" ht="27" hidden="1" customHeight="1" outlineLevel="1">
      <c r="A65" s="79" t="e">
        <f>#REF!</f>
        <v>#REF!</v>
      </c>
      <c r="B65" s="80" t="e">
        <f>#REF!</f>
        <v>#REF!</v>
      </c>
      <c r="C65" s="85" t="e">
        <f t="shared" si="8"/>
        <v>#REF!</v>
      </c>
      <c r="D65" s="85" t="e">
        <f t="shared" si="8"/>
        <v>#REF!</v>
      </c>
      <c r="E65" s="85" t="e">
        <f>#REF!</f>
        <v>#REF!</v>
      </c>
      <c r="F65" s="92" t="e">
        <f>SUM(C65:E65)</f>
        <v>#REF!</v>
      </c>
      <c r="G65" s="23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</row>
    <row r="66" spans="1:67" ht="27" hidden="1" customHeight="1" outlineLevel="1">
      <c r="A66" s="79" t="e">
        <f>#REF!</f>
        <v>#REF!</v>
      </c>
      <c r="B66" s="80" t="e">
        <f>#REF!</f>
        <v>#REF!</v>
      </c>
      <c r="C66" s="85" t="e">
        <f t="shared" si="8"/>
        <v>#REF!</v>
      </c>
      <c r="D66" s="85" t="e">
        <f t="shared" si="8"/>
        <v>#REF!</v>
      </c>
      <c r="E66" s="85" t="e">
        <f>#REF!</f>
        <v>#REF!</v>
      </c>
      <c r="F66" s="92" t="e">
        <f>SUM(C66:E66)</f>
        <v>#REF!</v>
      </c>
      <c r="G66" s="23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</row>
    <row r="67" spans="1:67" ht="27" customHeight="1">
      <c r="A67" s="1110" t="e">
        <f>#REF!</f>
        <v>#REF!</v>
      </c>
      <c r="B67" s="1098" t="e">
        <f>#REF!</f>
        <v>#REF!</v>
      </c>
      <c r="C67" s="88"/>
      <c r="D67" s="89"/>
      <c r="E67" s="1160"/>
      <c r="F67" s="90"/>
      <c r="G67" s="23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</row>
    <row r="68" spans="1:67" ht="27" customHeight="1" outlineLevel="1">
      <c r="A68" s="1103" t="e">
        <f>#REF!</f>
        <v>#REF!</v>
      </c>
      <c r="B68" s="1158" t="e">
        <f>#REF!</f>
        <v>#REF!</v>
      </c>
      <c r="C68" s="88"/>
      <c r="D68" s="89"/>
      <c r="E68" s="1160"/>
      <c r="F68" s="90"/>
      <c r="G68" s="23"/>
      <c r="H68" s="255"/>
      <c r="I68" s="255"/>
      <c r="J68" s="255"/>
      <c r="K68" s="255"/>
      <c r="L68" s="255"/>
      <c r="M68" s="255"/>
      <c r="N68" s="255"/>
      <c r="O68" s="255"/>
      <c r="P68" s="255"/>
      <c r="Q68" s="255"/>
      <c r="R68" s="255"/>
      <c r="S68" s="255"/>
      <c r="T68" s="255"/>
      <c r="U68" s="255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</row>
    <row r="69" spans="1:67" ht="27" customHeight="1" outlineLevel="1">
      <c r="A69" s="79" t="e">
        <f>#REF!</f>
        <v>#REF!</v>
      </c>
      <c r="B69" s="80" t="e">
        <f>#REF!</f>
        <v>#REF!</v>
      </c>
      <c r="C69" s="85" t="e">
        <f t="shared" ref="C69:D71" si="9">IF($E69=0,0,3)</f>
        <v>#REF!</v>
      </c>
      <c r="D69" s="85" t="e">
        <f t="shared" si="9"/>
        <v>#REF!</v>
      </c>
      <c r="E69" s="85" t="e">
        <f>#REF!</f>
        <v>#REF!</v>
      </c>
      <c r="F69" s="92" t="e">
        <f>SUM(C69:E69)</f>
        <v>#REF!</v>
      </c>
      <c r="G69" s="23"/>
      <c r="H69" s="164">
        <v>1</v>
      </c>
      <c r="I69" s="164">
        <v>2</v>
      </c>
      <c r="J69" s="164">
        <v>3</v>
      </c>
      <c r="K69" s="164">
        <v>1</v>
      </c>
      <c r="L69" s="164">
        <v>2</v>
      </c>
      <c r="M69" s="164">
        <v>3</v>
      </c>
      <c r="N69" s="164">
        <v>4</v>
      </c>
      <c r="O69" s="164">
        <v>5</v>
      </c>
      <c r="P69" s="164">
        <v>6</v>
      </c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</row>
    <row r="70" spans="1:67" ht="37.5" customHeight="1" outlineLevel="1">
      <c r="A70" s="79" t="e">
        <f>#REF!</f>
        <v>#REF!</v>
      </c>
      <c r="B70" s="80" t="e">
        <f>#REF!</f>
        <v>#REF!</v>
      </c>
      <c r="C70" s="85" t="e">
        <f t="shared" si="9"/>
        <v>#REF!</v>
      </c>
      <c r="D70" s="85" t="e">
        <f t="shared" si="9"/>
        <v>#REF!</v>
      </c>
      <c r="E70" s="85" t="e">
        <f>#REF!</f>
        <v>#REF!</v>
      </c>
      <c r="F70" s="92" t="e">
        <f>SUM(C70:E70)</f>
        <v>#REF!</v>
      </c>
      <c r="G70" s="23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164">
        <v>1</v>
      </c>
      <c r="AF70" s="164">
        <v>2</v>
      </c>
      <c r="AG70" s="164">
        <v>3</v>
      </c>
      <c r="AH70" s="164">
        <v>1</v>
      </c>
      <c r="AI70" s="164">
        <v>2</v>
      </c>
      <c r="AJ70" s="164">
        <v>3</v>
      </c>
      <c r="AK70" s="164">
        <v>4</v>
      </c>
      <c r="AL70" s="164">
        <v>5</v>
      </c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</row>
    <row r="71" spans="1:67" ht="27" customHeight="1" outlineLevel="1">
      <c r="A71" s="79" t="e">
        <f>#REF!</f>
        <v>#REF!</v>
      </c>
      <c r="B71" s="80" t="e">
        <f>#REF!</f>
        <v>#REF!</v>
      </c>
      <c r="C71" s="85" t="e">
        <f t="shared" si="9"/>
        <v>#REF!</v>
      </c>
      <c r="D71" s="85" t="e">
        <f t="shared" si="9"/>
        <v>#REF!</v>
      </c>
      <c r="E71" s="85" t="e">
        <f>#REF!</f>
        <v>#REF!</v>
      </c>
      <c r="F71" s="92" t="e">
        <f>SUM(C71:E71)</f>
        <v>#REF!</v>
      </c>
      <c r="G71" s="23"/>
      <c r="H71" s="8"/>
      <c r="I71" s="8"/>
      <c r="J71" s="8"/>
      <c r="K71" s="8"/>
      <c r="L71" s="8"/>
      <c r="M71" s="8"/>
      <c r="N71" s="8"/>
      <c r="O71" s="164">
        <v>1</v>
      </c>
      <c r="P71" s="164">
        <v>2</v>
      </c>
      <c r="Q71" s="164">
        <v>3</v>
      </c>
      <c r="R71" s="164">
        <v>1</v>
      </c>
      <c r="S71" s="164">
        <v>2</v>
      </c>
      <c r="T71" s="164">
        <v>3</v>
      </c>
      <c r="U71" s="164">
        <v>4</v>
      </c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</row>
    <row r="72" spans="1:67" ht="27" customHeight="1" outlineLevel="1">
      <c r="A72" s="1103" t="e">
        <f>#REF!</f>
        <v>#REF!</v>
      </c>
      <c r="B72" s="1158" t="e">
        <f>#REF!</f>
        <v>#REF!</v>
      </c>
      <c r="C72" s="88"/>
      <c r="D72" s="89"/>
      <c r="E72" s="1160"/>
      <c r="F72" s="90"/>
      <c r="G72" s="23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255"/>
      <c r="W72" s="255"/>
      <c r="X72" s="255"/>
      <c r="Y72" s="255"/>
      <c r="Z72" s="255"/>
      <c r="AA72" s="255"/>
      <c r="AB72" s="255"/>
      <c r="AC72" s="255"/>
      <c r="AD72" s="255"/>
      <c r="AE72" s="255"/>
      <c r="AF72" s="255"/>
      <c r="AG72" s="255"/>
      <c r="AH72" s="255"/>
      <c r="AI72" s="255"/>
      <c r="AJ72" s="255"/>
      <c r="AK72" s="255"/>
      <c r="AL72" s="255"/>
      <c r="AM72" s="255"/>
      <c r="AN72" s="255"/>
      <c r="AO72" s="255"/>
      <c r="AP72" s="255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</row>
    <row r="73" spans="1:67" ht="45.75" customHeight="1" outlineLevel="1">
      <c r="A73" s="79" t="e">
        <f>#REF!</f>
        <v>#REF!</v>
      </c>
      <c r="B73" s="80" t="e">
        <f>#REF!</f>
        <v>#REF!</v>
      </c>
      <c r="C73" s="85" t="e">
        <f t="shared" ref="C73:D76" si="10">IF($E73=0,0,3)</f>
        <v>#REF!</v>
      </c>
      <c r="D73" s="85" t="e">
        <f t="shared" si="10"/>
        <v>#REF!</v>
      </c>
      <c r="E73" s="85" t="e">
        <f>#REF!</f>
        <v>#REF!</v>
      </c>
      <c r="F73" s="92" t="e">
        <f>SUM(C73:E73)</f>
        <v>#REF!</v>
      </c>
      <c r="G73" s="23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164">
        <v>1</v>
      </c>
      <c r="W73" s="164">
        <v>2</v>
      </c>
      <c r="X73" s="164">
        <v>3</v>
      </c>
      <c r="Y73" s="164">
        <v>1</v>
      </c>
      <c r="Z73" s="164">
        <v>2</v>
      </c>
      <c r="AA73" s="164">
        <v>3</v>
      </c>
      <c r="AB73" s="164">
        <v>4</v>
      </c>
      <c r="AC73" s="164">
        <v>5</v>
      </c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</row>
    <row r="74" spans="1:67" ht="36.75" customHeight="1" outlineLevel="1">
      <c r="A74" s="79" t="e">
        <f>#REF!</f>
        <v>#REF!</v>
      </c>
      <c r="B74" s="80" t="e">
        <f>#REF!</f>
        <v>#REF!</v>
      </c>
      <c r="C74" s="85" t="e">
        <f t="shared" si="10"/>
        <v>#REF!</v>
      </c>
      <c r="D74" s="85" t="e">
        <f t="shared" si="10"/>
        <v>#REF!</v>
      </c>
      <c r="E74" s="85" t="e">
        <f>#REF!</f>
        <v>#REF!</v>
      </c>
      <c r="F74" s="92" t="e">
        <f>SUM(C74:E74)</f>
        <v>#REF!</v>
      </c>
      <c r="G74" s="23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164">
        <v>1</v>
      </c>
      <c r="AE74" s="164">
        <v>2</v>
      </c>
      <c r="AF74" s="164">
        <v>3</v>
      </c>
      <c r="AG74" s="164">
        <v>1</v>
      </c>
      <c r="AH74" s="164">
        <v>2</v>
      </c>
      <c r="AI74" s="164">
        <v>3</v>
      </c>
      <c r="AJ74" s="164">
        <v>4</v>
      </c>
      <c r="AK74" s="164">
        <v>5</v>
      </c>
      <c r="AL74" s="164">
        <v>6</v>
      </c>
      <c r="AM74" s="164">
        <v>7</v>
      </c>
      <c r="AN74" s="164">
        <v>8</v>
      </c>
      <c r="AO74" s="164">
        <v>9</v>
      </c>
      <c r="AP74" s="164">
        <v>10</v>
      </c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</row>
    <row r="75" spans="1:67" ht="27" customHeight="1" outlineLevel="1">
      <c r="A75" s="79" t="e">
        <f>#REF!</f>
        <v>#REF!</v>
      </c>
      <c r="B75" s="80" t="e">
        <f>#REF!</f>
        <v>#REF!</v>
      </c>
      <c r="C75" s="85" t="e">
        <f>IF($E75=0,0,3)</f>
        <v>#REF!</v>
      </c>
      <c r="D75" s="85" t="e">
        <f>IF($E75=0,0,3)</f>
        <v>#REF!</v>
      </c>
      <c r="E75" s="85" t="e">
        <f>#REF!</f>
        <v>#REF!</v>
      </c>
      <c r="F75" s="92" t="e">
        <f>SUM(C75:E75)</f>
        <v>#REF!</v>
      </c>
      <c r="G75" s="23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164">
        <v>1</v>
      </c>
      <c r="AE75" s="164">
        <v>2</v>
      </c>
      <c r="AF75" s="164">
        <v>3</v>
      </c>
      <c r="AG75" s="164">
        <v>1</v>
      </c>
      <c r="AH75" s="164">
        <v>2</v>
      </c>
      <c r="AI75" s="164">
        <v>3</v>
      </c>
      <c r="AJ75" s="164">
        <v>4</v>
      </c>
      <c r="AK75" s="164">
        <v>5</v>
      </c>
      <c r="AL75" s="164">
        <v>6</v>
      </c>
      <c r="AM75" s="164">
        <v>7</v>
      </c>
      <c r="AN75" s="164">
        <v>8</v>
      </c>
      <c r="AO75" s="164">
        <v>9</v>
      </c>
      <c r="AP75" s="164">
        <v>10</v>
      </c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</row>
    <row r="76" spans="1:67" outlineLevel="1">
      <c r="A76" s="79" t="e">
        <f>#REF!</f>
        <v>#REF!</v>
      </c>
      <c r="B76" s="80" t="e">
        <f>#REF!</f>
        <v>#REF!</v>
      </c>
      <c r="C76" s="85" t="e">
        <f t="shared" si="10"/>
        <v>#REF!</v>
      </c>
      <c r="D76" s="85" t="e">
        <f t="shared" si="10"/>
        <v>#REF!</v>
      </c>
      <c r="E76" s="85" t="e">
        <f>#REF!</f>
        <v>#REF!</v>
      </c>
      <c r="F76" s="92" t="e">
        <f>SUM(C76:E76)</f>
        <v>#REF!</v>
      </c>
      <c r="G76" s="23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164">
        <v>1</v>
      </c>
      <c r="AE76" s="164">
        <v>2</v>
      </c>
      <c r="AF76" s="164">
        <v>3</v>
      </c>
      <c r="AG76" s="164">
        <v>1</v>
      </c>
      <c r="AH76" s="164">
        <v>2</v>
      </c>
      <c r="AI76" s="164">
        <v>3</v>
      </c>
      <c r="AJ76" s="164">
        <v>4</v>
      </c>
      <c r="AK76" s="164">
        <v>5</v>
      </c>
      <c r="AL76" s="164">
        <v>6</v>
      </c>
      <c r="AM76" s="164">
        <v>7</v>
      </c>
      <c r="AN76" s="164">
        <v>8</v>
      </c>
      <c r="AO76" s="164">
        <v>9</v>
      </c>
      <c r="AP76" s="164">
        <v>10</v>
      </c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</row>
    <row r="77" spans="1:67" ht="27" hidden="1" customHeight="1" outlineLevel="1">
      <c r="A77" s="1103" t="e">
        <f>#REF!</f>
        <v>#REF!</v>
      </c>
      <c r="B77" s="1158" t="e">
        <f>#REF!</f>
        <v>#REF!</v>
      </c>
      <c r="C77" s="88"/>
      <c r="D77" s="89"/>
      <c r="E77" s="1160"/>
      <c r="F77" s="90"/>
      <c r="G77" s="23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255"/>
      <c r="Z77" s="255"/>
      <c r="AA77" s="255"/>
      <c r="AB77" s="255"/>
      <c r="AC77" s="255"/>
      <c r="AD77" s="255"/>
      <c r="AE77" s="255"/>
      <c r="AF77" s="255"/>
      <c r="AG77" s="255"/>
      <c r="AH77" s="255"/>
      <c r="AI77" s="255"/>
      <c r="AJ77" s="255"/>
      <c r="AK77" s="255"/>
      <c r="AL77" s="255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</row>
    <row r="78" spans="1:67" ht="36" customHeight="1" outlineLevel="1">
      <c r="A78" s="79" t="e">
        <f>#REF!</f>
        <v>#REF!</v>
      </c>
      <c r="B78" s="80" t="e">
        <f>#REF!</f>
        <v>#REF!</v>
      </c>
      <c r="C78" s="85" t="e">
        <f>IF($E78=0,0,3)</f>
        <v>#REF!</v>
      </c>
      <c r="D78" s="85" t="e">
        <f>IF($E78=0,0,3)</f>
        <v>#REF!</v>
      </c>
      <c r="E78" s="85" t="e">
        <f>#REF!</f>
        <v>#REF!</v>
      </c>
      <c r="F78" s="92" t="e">
        <f>SUM(C78:E78)</f>
        <v>#REF!</v>
      </c>
      <c r="G78" s="23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164">
        <v>1</v>
      </c>
      <c r="Z78" s="164">
        <v>2</v>
      </c>
      <c r="AA78" s="164">
        <v>3</v>
      </c>
      <c r="AB78" s="164">
        <v>1</v>
      </c>
      <c r="AC78" s="164">
        <v>2</v>
      </c>
      <c r="AD78" s="164">
        <v>3</v>
      </c>
      <c r="AE78" s="164">
        <v>4</v>
      </c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</row>
    <row r="79" spans="1:67" ht="27" customHeight="1" outlineLevel="1">
      <c r="A79" s="1103" t="e">
        <f>#REF!</f>
        <v>#REF!</v>
      </c>
      <c r="B79" s="1104" t="e">
        <f>#REF!</f>
        <v>#REF!</v>
      </c>
      <c r="C79" s="88"/>
      <c r="D79" s="89"/>
      <c r="E79" s="1157"/>
      <c r="F79" s="179"/>
      <c r="G79" s="23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</row>
    <row r="80" spans="1:67" ht="27" hidden="1" customHeight="1" outlineLevel="1">
      <c r="A80" s="79" t="e">
        <f>#REF!</f>
        <v>#REF!</v>
      </c>
      <c r="B80" s="80" t="e">
        <f>#REF!</f>
        <v>#REF!</v>
      </c>
      <c r="C80" s="85" t="e">
        <f>IF($E80=0,0,3)</f>
        <v>#REF!</v>
      </c>
      <c r="D80" s="85" t="e">
        <f>IF($E80=0,0,3)</f>
        <v>#REF!</v>
      </c>
      <c r="E80" s="85" t="e">
        <f>#REF!</f>
        <v>#REF!</v>
      </c>
      <c r="F80" s="179"/>
      <c r="G80" s="23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164">
        <v>1</v>
      </c>
      <c r="AN80" s="164">
        <v>2</v>
      </c>
      <c r="AO80" s="164">
        <v>3</v>
      </c>
      <c r="AP80" s="164">
        <v>1</v>
      </c>
      <c r="AQ80" s="164">
        <v>2</v>
      </c>
      <c r="AR80" s="164">
        <v>3</v>
      </c>
      <c r="AS80" s="164">
        <v>4</v>
      </c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</row>
    <row r="81" spans="1:67" ht="27" customHeight="1" outlineLevel="1">
      <c r="A81" s="79" t="e">
        <f>#REF!</f>
        <v>#REF!</v>
      </c>
      <c r="B81" s="80" t="e">
        <f>#REF!</f>
        <v>#REF!</v>
      </c>
      <c r="C81" s="85">
        <f>IF($E81=0,0,3)</f>
        <v>3</v>
      </c>
      <c r="D81" s="85">
        <f>IF($E81=0,0,3)</f>
        <v>3</v>
      </c>
      <c r="E81" s="85">
        <v>5</v>
      </c>
      <c r="F81" s="179"/>
      <c r="G81" s="23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164">
        <v>1</v>
      </c>
      <c r="AU81" s="164">
        <v>2</v>
      </c>
      <c r="AV81" s="164">
        <v>3</v>
      </c>
      <c r="AW81" s="164">
        <v>1</v>
      </c>
      <c r="AX81" s="164">
        <v>2</v>
      </c>
      <c r="AY81" s="164">
        <v>3</v>
      </c>
      <c r="AZ81" s="164">
        <v>4</v>
      </c>
      <c r="BA81" s="164">
        <v>5</v>
      </c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</row>
    <row r="82" spans="1:67">
      <c r="A82" s="760"/>
      <c r="B82" s="760"/>
      <c r="C82" s="760"/>
      <c r="D82" s="760"/>
      <c r="E82" s="760"/>
      <c r="F82" s="760"/>
      <c r="G82" s="760"/>
      <c r="H82" s="760"/>
      <c r="I82" s="760"/>
      <c r="J82" s="760"/>
      <c r="K82" s="760"/>
      <c r="L82" s="760"/>
      <c r="M82" s="760"/>
      <c r="N82" s="760"/>
      <c r="O82" s="760"/>
      <c r="P82" s="760"/>
      <c r="Q82" s="760"/>
      <c r="R82" s="760"/>
      <c r="S82" s="760"/>
      <c r="T82" s="760"/>
      <c r="U82" s="760"/>
      <c r="V82" s="760"/>
      <c r="W82" s="760"/>
      <c r="X82" s="760"/>
      <c r="Y82" s="760"/>
      <c r="Z82" s="760"/>
      <c r="AA82" s="760"/>
      <c r="AB82" s="760"/>
      <c r="AC82" s="760"/>
      <c r="AD82" s="760"/>
      <c r="AE82" s="760"/>
      <c r="AF82" s="760"/>
      <c r="AG82" s="760"/>
      <c r="AH82" s="760"/>
      <c r="AI82" s="760"/>
      <c r="AJ82" s="760"/>
      <c r="AK82" s="760"/>
      <c r="AL82" s="760"/>
      <c r="AM82" s="760"/>
      <c r="AN82" s="760"/>
      <c r="AO82" s="760"/>
      <c r="AP82" s="760"/>
      <c r="AQ82" s="760"/>
      <c r="AR82" s="760"/>
      <c r="AS82" s="760"/>
      <c r="AT82" s="760"/>
      <c r="AU82" s="760"/>
      <c r="AV82" s="760"/>
      <c r="AW82" s="760"/>
      <c r="AX82" s="760"/>
      <c r="AY82" s="760"/>
      <c r="AZ82" s="760"/>
      <c r="BA82" s="760"/>
      <c r="BB82" s="760"/>
      <c r="BC82" s="760"/>
      <c r="BD82" s="760"/>
      <c r="BE82" s="760"/>
      <c r="BF82" s="760"/>
      <c r="BG82" s="760"/>
      <c r="BH82" s="760"/>
      <c r="BI82" s="760"/>
      <c r="BJ82" s="760"/>
      <c r="BK82" s="760"/>
      <c r="BL82" s="760"/>
      <c r="BM82" s="760"/>
      <c r="BN82" s="760"/>
      <c r="BO82" s="760"/>
    </row>
    <row r="104" spans="1:7" ht="27" customHeight="1">
      <c r="A104" s="1080" t="e">
        <f>#REF!</f>
        <v>#REF!</v>
      </c>
      <c r="B104" s="1098" t="e">
        <f>#REF!</f>
        <v>#REF!</v>
      </c>
      <c r="C104" s="85"/>
      <c r="D104" s="85"/>
      <c r="E104" s="1161"/>
      <c r="F104" s="92">
        <f>SUM(C104:E104)</f>
        <v>0</v>
      </c>
      <c r="G104" s="23"/>
    </row>
    <row r="105" spans="1:7" ht="27" customHeight="1">
      <c r="A105" s="1080" t="e">
        <f>#REF!</f>
        <v>#REF!</v>
      </c>
      <c r="B105" s="1098" t="e">
        <f>#REF!</f>
        <v>#REF!</v>
      </c>
      <c r="C105" s="85"/>
      <c r="D105" s="85"/>
      <c r="E105" s="1161"/>
      <c r="F105" s="92">
        <f>SUM(C105:E105)</f>
        <v>0</v>
      </c>
      <c r="G105" s="23"/>
    </row>
  </sheetData>
  <mergeCells count="12">
    <mergeCell ref="BD6:BO6"/>
    <mergeCell ref="A2:B2"/>
    <mergeCell ref="A6:A7"/>
    <mergeCell ref="B6:B7"/>
    <mergeCell ref="H6:S6"/>
    <mergeCell ref="E6:E7"/>
    <mergeCell ref="C6:C7"/>
    <mergeCell ref="D6:D7"/>
    <mergeCell ref="F6:F7"/>
    <mergeCell ref="T6:AE6"/>
    <mergeCell ref="AF6:AQ6"/>
    <mergeCell ref="AR6:BC6"/>
  </mergeCells>
  <phoneticPr fontId="2" type="noConversion"/>
  <pageMargins left="0.39370078740157483" right="0.39370078740157483" top="0.39370078740157483" bottom="0.39370078740157483" header="0" footer="0"/>
  <pageSetup paperSize="9" scale="47" fitToHeight="9" orientation="landscape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36"/>
  <dimension ref="A1:Z52"/>
  <sheetViews>
    <sheetView topLeftCell="A32" workbookViewId="0">
      <selection activeCell="H9" sqref="H9"/>
    </sheetView>
  </sheetViews>
  <sheetFormatPr defaultColWidth="10.7109375" defaultRowHeight="13.15" outlineLevelRow="2" outlineLevelCol="1"/>
  <cols>
    <col min="1" max="1" width="3.140625" customWidth="1"/>
    <col min="2" max="2" width="19.7109375" customWidth="1"/>
    <col min="3" max="3" width="4.42578125" customWidth="1"/>
    <col min="4" max="4" width="22.7109375" customWidth="1"/>
    <col min="5" max="5" width="9.7109375" customWidth="1"/>
    <col min="6" max="6" width="6" customWidth="1"/>
    <col min="7" max="7" width="6" style="9" customWidth="1"/>
    <col min="8" max="17" width="6" customWidth="1"/>
    <col min="18" max="21" width="6.140625" hidden="1" customWidth="1" outlineLevel="1"/>
    <col min="22" max="22" width="6.28515625" hidden="1" customWidth="1" outlineLevel="1"/>
    <col min="23" max="23" width="6" customWidth="1" collapsed="1"/>
    <col min="24" max="25" width="12.42578125" hidden="1" customWidth="1" outlineLevel="1"/>
    <col min="26" max="26" width="1.140625" customWidth="1" collapsed="1"/>
  </cols>
  <sheetData>
    <row r="1" spans="1:25">
      <c r="A1" s="1130" t="s">
        <v>619</v>
      </c>
      <c r="B1" s="760"/>
      <c r="C1" s="760"/>
      <c r="D1" s="760"/>
      <c r="E1" s="760"/>
      <c r="F1" s="760"/>
      <c r="H1" s="760"/>
      <c r="I1" s="760"/>
      <c r="J1" s="760"/>
      <c r="K1" s="760"/>
      <c r="L1" s="760"/>
      <c r="M1" s="760"/>
      <c r="N1" s="760"/>
      <c r="O1" s="760"/>
      <c r="P1" s="760"/>
      <c r="Q1" s="760"/>
      <c r="R1" s="760"/>
      <c r="S1" s="760"/>
      <c r="T1" s="760"/>
      <c r="U1" s="760"/>
      <c r="V1" s="760"/>
      <c r="W1" s="760"/>
      <c r="X1" s="760"/>
      <c r="Y1" s="760"/>
    </row>
    <row r="3" spans="1:25">
      <c r="A3" s="1075" t="s">
        <v>620</v>
      </c>
      <c r="B3" s="1075"/>
      <c r="C3" s="1074" t="s">
        <v>621</v>
      </c>
      <c r="D3" s="1074"/>
      <c r="E3" s="1074"/>
      <c r="F3" s="1074"/>
      <c r="G3" s="1074"/>
      <c r="H3" s="1074"/>
      <c r="I3" s="1074"/>
      <c r="J3" s="1074"/>
      <c r="K3" s="1074"/>
      <c r="L3" s="1074"/>
      <c r="M3" s="1074"/>
      <c r="N3" s="1074"/>
      <c r="O3" s="1074"/>
      <c r="P3" s="1074"/>
      <c r="Q3" s="1074"/>
      <c r="R3" s="1074"/>
      <c r="S3" s="1074"/>
      <c r="T3" s="1074"/>
      <c r="U3" s="1074"/>
      <c r="V3" s="1074"/>
      <c r="W3" s="1074"/>
      <c r="X3" s="1074" t="s">
        <v>622</v>
      </c>
      <c r="Y3" s="1074" t="s">
        <v>623</v>
      </c>
    </row>
    <row r="4" spans="1:25">
      <c r="A4" s="1075"/>
      <c r="B4" s="1075"/>
      <c r="C4" s="1074" t="s">
        <v>552</v>
      </c>
      <c r="D4" s="1074"/>
      <c r="E4" s="1074" t="s">
        <v>315</v>
      </c>
      <c r="F4" s="1074" t="s">
        <v>624</v>
      </c>
      <c r="G4" s="1075" t="s">
        <v>625</v>
      </c>
      <c r="H4" s="1075"/>
      <c r="I4" s="1075"/>
      <c r="J4" s="1075"/>
      <c r="K4" s="1075"/>
      <c r="L4" s="1075"/>
      <c r="M4" s="1075"/>
      <c r="N4" s="1075"/>
      <c r="O4" s="1075"/>
      <c r="P4" s="1075"/>
      <c r="Q4" s="1075"/>
      <c r="R4" s="1075"/>
      <c r="S4" s="1075"/>
      <c r="T4" s="1075"/>
      <c r="U4" s="1075"/>
      <c r="V4" s="1075"/>
      <c r="W4" s="1075" t="s">
        <v>626</v>
      </c>
      <c r="X4" s="1074"/>
      <c r="Y4" s="1074"/>
    </row>
    <row r="5" spans="1:25">
      <c r="A5" s="1075"/>
      <c r="B5" s="1075"/>
      <c r="C5" s="1074"/>
      <c r="D5" s="1074"/>
      <c r="E5" s="1074"/>
      <c r="F5" s="1074"/>
      <c r="G5" s="1162">
        <v>0</v>
      </c>
      <c r="H5" s="1162">
        <v>1</v>
      </c>
      <c r="I5" s="1162">
        <v>2</v>
      </c>
      <c r="J5" s="1162">
        <v>3</v>
      </c>
      <c r="K5" s="1162">
        <v>4</v>
      </c>
      <c r="L5" s="1162">
        <v>5</v>
      </c>
      <c r="M5" s="1162">
        <v>6</v>
      </c>
      <c r="N5" s="1162">
        <v>7</v>
      </c>
      <c r="O5" s="1162">
        <v>8</v>
      </c>
      <c r="P5" s="1162">
        <v>9</v>
      </c>
      <c r="Q5" s="1162">
        <v>10</v>
      </c>
      <c r="R5" s="1162">
        <v>11</v>
      </c>
      <c r="S5" s="1162">
        <v>12</v>
      </c>
      <c r="T5" s="1162">
        <v>13</v>
      </c>
      <c r="U5" s="1162">
        <v>14</v>
      </c>
      <c r="V5" s="1162">
        <v>15</v>
      </c>
      <c r="W5" s="1075"/>
      <c r="X5" s="1074"/>
      <c r="Y5" s="1074"/>
    </row>
    <row r="6" spans="1:25" ht="45" customHeight="1" outlineLevel="1">
      <c r="A6" s="1163" t="s">
        <v>627</v>
      </c>
      <c r="B6" s="1164"/>
      <c r="C6" s="771" t="s">
        <v>93</v>
      </c>
      <c r="D6" s="8" t="s">
        <v>628</v>
      </c>
      <c r="E6" s="771" t="s">
        <v>107</v>
      </c>
      <c r="F6" s="121" t="e">
        <f>G6</f>
        <v>#REF!</v>
      </c>
      <c r="G6" s="122" t="e">
        <f>-(#REF!-#REF!)/#REF!</f>
        <v>#REF!</v>
      </c>
      <c r="H6" s="122" t="e">
        <f>-(#REF!-#REF!)/#REF!</f>
        <v>#REF!</v>
      </c>
      <c r="I6" s="122" t="e">
        <f>-(#REF!-#REF!)/#REF!</f>
        <v>#REF!</v>
      </c>
      <c r="J6" s="122" t="e">
        <f>-(#REF!-#REF!)/#REF!</f>
        <v>#REF!</v>
      </c>
      <c r="K6" s="122" t="e">
        <f>-(#REF!-#REF!)/#REF!</f>
        <v>#REF!</v>
      </c>
      <c r="L6" s="122" t="e">
        <f>-(#REF!-#REF!)/#REF!</f>
        <v>#REF!</v>
      </c>
      <c r="M6" s="122" t="e">
        <f>-(#REF!-#REF!)/#REF!</f>
        <v>#REF!</v>
      </c>
      <c r="N6" s="122" t="e">
        <f>-(#REF!-#REF!)/#REF!</f>
        <v>#REF!</v>
      </c>
      <c r="O6" s="122" t="e">
        <f>-(#REF!-#REF!)/#REF!</f>
        <v>#REF!</v>
      </c>
      <c r="P6" s="122" t="e">
        <f>-(#REF!-#REF!)/#REF!</f>
        <v>#REF!</v>
      </c>
      <c r="Q6" s="122" t="e">
        <f>-(#REF!-#REF!)/#REF!</f>
        <v>#REF!</v>
      </c>
      <c r="R6" s="122" t="e">
        <f>-(#REF!-#REF!)/#REF!</f>
        <v>#REF!</v>
      </c>
      <c r="S6" s="122" t="e">
        <f>-(#REF!-#REF!)/#REF!</f>
        <v>#REF!</v>
      </c>
      <c r="T6" s="122" t="e">
        <f>-(#REF!-#REF!)/#REF!</f>
        <v>#REF!</v>
      </c>
      <c r="U6" s="122" t="e">
        <f>-(#REF!-#REF!)/#REF!</f>
        <v>#REF!</v>
      </c>
      <c r="V6" s="122" t="e">
        <f>-(#REF!-#REF!)/#REF!</f>
        <v>#REF!</v>
      </c>
      <c r="W6" s="122" t="e">
        <f>V6</f>
        <v>#REF!</v>
      </c>
      <c r="X6" s="771" t="s">
        <v>629</v>
      </c>
      <c r="Y6" s="962" t="s">
        <v>630</v>
      </c>
    </row>
    <row r="7" spans="1:25" ht="45" hidden="1" customHeight="1" outlineLevel="2">
      <c r="A7" s="976" t="s">
        <v>631</v>
      </c>
      <c r="B7" s="977"/>
      <c r="C7" s="771" t="s">
        <v>93</v>
      </c>
      <c r="D7" s="8"/>
      <c r="E7" s="771" t="s">
        <v>107</v>
      </c>
      <c r="F7" s="121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>
        <f>V7</f>
        <v>0</v>
      </c>
      <c r="X7" s="771"/>
      <c r="Y7" s="962"/>
    </row>
    <row r="8" spans="1:25" ht="45" hidden="1" customHeight="1" outlineLevel="2">
      <c r="A8" s="978"/>
      <c r="B8" s="979"/>
      <c r="C8" s="771"/>
      <c r="D8" s="8"/>
      <c r="E8" s="771" t="s">
        <v>107</v>
      </c>
      <c r="F8" s="121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>
        <f>V8</f>
        <v>0</v>
      </c>
      <c r="X8" s="771"/>
      <c r="Y8" s="962"/>
    </row>
    <row r="9" spans="1:25" ht="45" customHeight="1" outlineLevel="1" collapsed="1">
      <c r="A9" s="980"/>
      <c r="B9" s="981"/>
      <c r="C9" s="771" t="s">
        <v>93</v>
      </c>
      <c r="D9" s="8" t="s">
        <v>632</v>
      </c>
      <c r="E9" s="771" t="s">
        <v>107</v>
      </c>
      <c r="F9" s="121" t="e">
        <f>G9</f>
        <v>#REF!</v>
      </c>
      <c r="G9" s="122" t="e">
        <f>#REF!/#REF!</f>
        <v>#REF!</v>
      </c>
      <c r="H9" s="122" t="e">
        <f>#REF!/#REF!</f>
        <v>#REF!</v>
      </c>
      <c r="I9" s="122" t="e">
        <f>#REF!/#REF!</f>
        <v>#REF!</v>
      </c>
      <c r="J9" s="122" t="e">
        <f>#REF!/#REF!</f>
        <v>#REF!</v>
      </c>
      <c r="K9" s="122" t="e">
        <f>#REF!/#REF!</f>
        <v>#REF!</v>
      </c>
      <c r="L9" s="122" t="e">
        <f>#REF!/#REF!</f>
        <v>#REF!</v>
      </c>
      <c r="M9" s="122" t="e">
        <f>#REF!/#REF!</f>
        <v>#REF!</v>
      </c>
      <c r="N9" s="122" t="e">
        <f>#REF!/#REF!</f>
        <v>#REF!</v>
      </c>
      <c r="O9" s="122" t="e">
        <f>#REF!/#REF!</f>
        <v>#REF!</v>
      </c>
      <c r="P9" s="122" t="e">
        <f>#REF!/#REF!</f>
        <v>#REF!</v>
      </c>
      <c r="Q9" s="122" t="e">
        <f>#REF!/#REF!</f>
        <v>#REF!</v>
      </c>
      <c r="R9" s="122" t="e">
        <f>#REF!/#REF!</f>
        <v>#REF!</v>
      </c>
      <c r="S9" s="122" t="e">
        <f>#REF!/#REF!</f>
        <v>#REF!</v>
      </c>
      <c r="T9" s="122" t="e">
        <f>#REF!/#REF!</f>
        <v>#REF!</v>
      </c>
      <c r="U9" s="122" t="e">
        <f>#REF!/#REF!</f>
        <v>#REF!</v>
      </c>
      <c r="V9" s="122" t="e">
        <f>#REF!/#REF!</f>
        <v>#REF!</v>
      </c>
      <c r="W9" s="122" t="e">
        <f>V9</f>
        <v>#REF!</v>
      </c>
      <c r="X9" s="771"/>
      <c r="Y9" s="962"/>
    </row>
    <row r="10" spans="1:25" outlineLevel="1">
      <c r="A10" s="1165" t="s">
        <v>633</v>
      </c>
      <c r="B10" s="1166"/>
      <c r="C10" s="1074" t="s">
        <v>621</v>
      </c>
      <c r="D10" s="1074"/>
      <c r="E10" s="1074"/>
      <c r="F10" s="1074"/>
      <c r="G10" s="1074"/>
      <c r="H10" s="1074"/>
      <c r="I10" s="1074"/>
      <c r="J10" s="1074"/>
      <c r="K10" s="1074"/>
      <c r="L10" s="1074"/>
      <c r="M10" s="1074"/>
      <c r="N10" s="1074"/>
      <c r="O10" s="1074"/>
      <c r="P10" s="1074"/>
      <c r="Q10" s="1074"/>
      <c r="R10" s="1074"/>
      <c r="S10" s="1074"/>
      <c r="T10" s="1074"/>
      <c r="U10" s="1074"/>
      <c r="V10" s="1074"/>
      <c r="W10" s="1074"/>
      <c r="X10" s="1074" t="s">
        <v>622</v>
      </c>
      <c r="Y10" s="1074" t="s">
        <v>623</v>
      </c>
    </row>
    <row r="11" spans="1:25" ht="12.75" customHeight="1" outlineLevel="1">
      <c r="A11" s="1167"/>
      <c r="B11" s="1168"/>
      <c r="C11" s="1169" t="s">
        <v>552</v>
      </c>
      <c r="D11" s="1074"/>
      <c r="E11" s="1074" t="s">
        <v>315</v>
      </c>
      <c r="F11" s="1074" t="s">
        <v>624</v>
      </c>
      <c r="G11" s="1075" t="s">
        <v>625</v>
      </c>
      <c r="H11" s="1075"/>
      <c r="I11" s="1075"/>
      <c r="J11" s="1075"/>
      <c r="K11" s="1075"/>
      <c r="L11" s="1075"/>
      <c r="M11" s="1075"/>
      <c r="N11" s="1075"/>
      <c r="O11" s="1075"/>
      <c r="P11" s="1075"/>
      <c r="Q11" s="1075"/>
      <c r="R11" s="1075"/>
      <c r="S11" s="1075"/>
      <c r="T11" s="1075"/>
      <c r="U11" s="1075"/>
      <c r="V11" s="1075"/>
      <c r="W11" s="1075" t="s">
        <v>626</v>
      </c>
      <c r="X11" s="1074"/>
      <c r="Y11" s="1074"/>
    </row>
    <row r="12" spans="1:25" outlineLevel="1">
      <c r="A12" s="1170"/>
      <c r="B12" s="1171"/>
      <c r="C12" s="1169"/>
      <c r="D12" s="1074"/>
      <c r="E12" s="1074"/>
      <c r="F12" s="1074"/>
      <c r="G12" s="1162">
        <v>0</v>
      </c>
      <c r="H12" s="1162">
        <v>1</v>
      </c>
      <c r="I12" s="1162">
        <v>2</v>
      </c>
      <c r="J12" s="1162">
        <v>3</v>
      </c>
      <c r="K12" s="1162">
        <v>4</v>
      </c>
      <c r="L12" s="1162">
        <v>5</v>
      </c>
      <c r="M12" s="1162">
        <v>6</v>
      </c>
      <c r="N12" s="1162">
        <v>7</v>
      </c>
      <c r="O12" s="1162">
        <v>8</v>
      </c>
      <c r="P12" s="1162">
        <v>9</v>
      </c>
      <c r="Q12" s="1162">
        <v>10</v>
      </c>
      <c r="R12" s="1162">
        <v>11</v>
      </c>
      <c r="S12" s="1162">
        <v>12</v>
      </c>
      <c r="T12" s="1162">
        <v>13</v>
      </c>
      <c r="U12" s="1162">
        <v>14</v>
      </c>
      <c r="V12" s="1162">
        <v>15</v>
      </c>
      <c r="W12" s="1075"/>
      <c r="X12" s="1074"/>
      <c r="Y12" s="1074"/>
    </row>
    <row r="13" spans="1:25" ht="24" customHeight="1" outlineLevel="1">
      <c r="A13" s="970" t="s">
        <v>634</v>
      </c>
      <c r="B13" s="971"/>
      <c r="C13" s="771" t="s">
        <v>93</v>
      </c>
      <c r="D13" s="8" t="s">
        <v>635</v>
      </c>
      <c r="E13" s="771" t="s">
        <v>636</v>
      </c>
      <c r="F13" s="174" t="e">
        <f>G13</f>
        <v>#REF!</v>
      </c>
      <c r="G13" s="174" t="e">
        <f>#REF!</f>
        <v>#REF!</v>
      </c>
      <c r="H13" s="174" t="e">
        <f>#REF!</f>
        <v>#REF!</v>
      </c>
      <c r="I13" s="174" t="e">
        <f>#REF!</f>
        <v>#REF!</v>
      </c>
      <c r="J13" s="174" t="e">
        <f>#REF!</f>
        <v>#REF!</v>
      </c>
      <c r="K13" s="174" t="e">
        <f>#REF!</f>
        <v>#REF!</v>
      </c>
      <c r="L13" s="174" t="e">
        <f>#REF!</f>
        <v>#REF!</v>
      </c>
      <c r="M13" s="174" t="e">
        <f>#REF!</f>
        <v>#REF!</v>
      </c>
      <c r="N13" s="174" t="e">
        <f>#REF!</f>
        <v>#REF!</v>
      </c>
      <c r="O13" s="174" t="e">
        <f>#REF!</f>
        <v>#REF!</v>
      </c>
      <c r="P13" s="174" t="e">
        <f>#REF!</f>
        <v>#REF!</v>
      </c>
      <c r="Q13" s="174" t="e">
        <f>#REF!</f>
        <v>#REF!</v>
      </c>
      <c r="R13" s="174" t="e">
        <f>#REF!</f>
        <v>#REF!</v>
      </c>
      <c r="S13" s="174" t="e">
        <f>#REF!</f>
        <v>#REF!</v>
      </c>
      <c r="T13" s="174" t="e">
        <f>#REF!</f>
        <v>#REF!</v>
      </c>
      <c r="U13" s="174" t="e">
        <f>#REF!</f>
        <v>#REF!</v>
      </c>
      <c r="V13" s="174" t="e">
        <f>#REF!</f>
        <v>#REF!</v>
      </c>
      <c r="W13" s="174" t="e">
        <f>V13</f>
        <v>#REF!</v>
      </c>
      <c r="X13" s="771" t="s">
        <v>637</v>
      </c>
      <c r="Y13" s="963" t="s">
        <v>630</v>
      </c>
    </row>
    <row r="14" spans="1:25" ht="24" customHeight="1" outlineLevel="1">
      <c r="A14" s="972"/>
      <c r="B14" s="973"/>
      <c r="C14" s="771" t="s">
        <v>93</v>
      </c>
      <c r="D14" s="8" t="s">
        <v>638</v>
      </c>
      <c r="E14" s="771" t="s">
        <v>107</v>
      </c>
      <c r="F14" s="122" t="e">
        <f>G14</f>
        <v>#REF!</v>
      </c>
      <c r="G14" s="122" t="e">
        <f>#REF!</f>
        <v>#REF!</v>
      </c>
      <c r="H14" s="122" t="e">
        <f>#REF!</f>
        <v>#REF!</v>
      </c>
      <c r="I14" s="122" t="e">
        <f>#REF!</f>
        <v>#REF!</v>
      </c>
      <c r="J14" s="122" t="e">
        <f>#REF!</f>
        <v>#REF!</v>
      </c>
      <c r="K14" s="122" t="e">
        <f>#REF!</f>
        <v>#REF!</v>
      </c>
      <c r="L14" s="122" t="e">
        <f>#REF!</f>
        <v>#REF!</v>
      </c>
      <c r="M14" s="122" t="e">
        <f>#REF!</f>
        <v>#REF!</v>
      </c>
      <c r="N14" s="122" t="e">
        <f>#REF!</f>
        <v>#REF!</v>
      </c>
      <c r="O14" s="122" t="e">
        <f>#REF!</f>
        <v>#REF!</v>
      </c>
      <c r="P14" s="122" t="e">
        <f>#REF!</f>
        <v>#REF!</v>
      </c>
      <c r="Q14" s="122" t="e">
        <f>#REF!</f>
        <v>#REF!</v>
      </c>
      <c r="R14" s="122" t="e">
        <f>#REF!</f>
        <v>#REF!</v>
      </c>
      <c r="S14" s="122" t="e">
        <f>#REF!</f>
        <v>#REF!</v>
      </c>
      <c r="T14" s="122" t="e">
        <f>#REF!</f>
        <v>#REF!</v>
      </c>
      <c r="U14" s="122" t="e">
        <f>#REF!</f>
        <v>#REF!</v>
      </c>
      <c r="V14" s="122" t="e">
        <f>#REF!</f>
        <v>#REF!</v>
      </c>
      <c r="W14" s="122" t="e">
        <f>V14</f>
        <v>#REF!</v>
      </c>
      <c r="X14" s="771" t="s">
        <v>639</v>
      </c>
      <c r="Y14" s="969"/>
    </row>
    <row r="15" spans="1:25" ht="24" customHeight="1" outlineLevel="1">
      <c r="A15" s="972"/>
      <c r="B15" s="973"/>
      <c r="C15" s="771"/>
      <c r="D15" s="8" t="s">
        <v>640</v>
      </c>
      <c r="E15" s="771" t="s">
        <v>641</v>
      </c>
      <c r="F15" s="123" t="e">
        <f>G15</f>
        <v>#REF!</v>
      </c>
      <c r="G15" s="123" t="e">
        <f>#REF!/Millon</f>
        <v>#REF!</v>
      </c>
      <c r="H15" s="123" t="e">
        <f>#REF!/Millon</f>
        <v>#REF!</v>
      </c>
      <c r="I15" s="123" t="e">
        <f>#REF!/Millon</f>
        <v>#REF!</v>
      </c>
      <c r="J15" s="123" t="e">
        <f>#REF!/Millon</f>
        <v>#REF!</v>
      </c>
      <c r="K15" s="123" t="e">
        <f>#REF!/Millon</f>
        <v>#REF!</v>
      </c>
      <c r="L15" s="123" t="e">
        <f>#REF!/Millon</f>
        <v>#REF!</v>
      </c>
      <c r="M15" s="123" t="e">
        <f>#REF!/Millon</f>
        <v>#REF!</v>
      </c>
      <c r="N15" s="123" t="e">
        <f>#REF!/Millon</f>
        <v>#REF!</v>
      </c>
      <c r="O15" s="123" t="e">
        <f>#REF!/Millon</f>
        <v>#REF!</v>
      </c>
      <c r="P15" s="123" t="e">
        <f>#REF!/Millon</f>
        <v>#REF!</v>
      </c>
      <c r="Q15" s="123" t="e">
        <f>#REF!/Millon</f>
        <v>#REF!</v>
      </c>
      <c r="R15" s="123" t="e">
        <f>#REF!/Millon</f>
        <v>#REF!</v>
      </c>
      <c r="S15" s="123" t="e">
        <f>#REF!/Millon</f>
        <v>#REF!</v>
      </c>
      <c r="T15" s="123" t="e">
        <f>#REF!/Millon</f>
        <v>#REF!</v>
      </c>
      <c r="U15" s="123" t="e">
        <f>#REF!/Millon</f>
        <v>#REF!</v>
      </c>
      <c r="V15" s="123" t="e">
        <f>#REF!/Millon</f>
        <v>#REF!</v>
      </c>
      <c r="W15" s="123" t="e">
        <f>V15</f>
        <v>#REF!</v>
      </c>
      <c r="X15" s="771"/>
      <c r="Y15" s="969"/>
    </row>
    <row r="16" spans="1:25" ht="24" customHeight="1" outlineLevel="1">
      <c r="A16" s="974"/>
      <c r="B16" s="975"/>
      <c r="C16" s="771" t="s">
        <v>93</v>
      </c>
      <c r="D16" s="8" t="s">
        <v>642</v>
      </c>
      <c r="E16" s="771" t="s">
        <v>107</v>
      </c>
      <c r="F16" s="122" t="e">
        <f>G16</f>
        <v>#REF!</v>
      </c>
      <c r="G16" s="122" t="e">
        <f>#REF!/(#REF!*Mil)</f>
        <v>#REF!</v>
      </c>
      <c r="H16" s="122" t="e">
        <f>#REF!/(#REF!*Mil)</f>
        <v>#REF!</v>
      </c>
      <c r="I16" s="122" t="e">
        <f>#REF!/(#REF!*Mil)</f>
        <v>#REF!</v>
      </c>
      <c r="J16" s="122" t="e">
        <f>#REF!/(#REF!*Mil)</f>
        <v>#REF!</v>
      </c>
      <c r="K16" s="122" t="e">
        <f>#REF!/(#REF!*Mil)</f>
        <v>#REF!</v>
      </c>
      <c r="L16" s="122" t="e">
        <f>#REF!/(#REF!*Mil)</f>
        <v>#REF!</v>
      </c>
      <c r="M16" s="122" t="e">
        <f>#REF!/(#REF!*Mil)</f>
        <v>#REF!</v>
      </c>
      <c r="N16" s="122" t="e">
        <f>#REF!/(#REF!*Mil)</f>
        <v>#REF!</v>
      </c>
      <c r="O16" s="122" t="e">
        <f>#REF!/(#REF!*Mil)</f>
        <v>#REF!</v>
      </c>
      <c r="P16" s="122" t="e">
        <f>#REF!/(#REF!*Mil)</f>
        <v>#REF!</v>
      </c>
      <c r="Q16" s="122" t="e">
        <f>#REF!/(#REF!*Mil)</f>
        <v>#REF!</v>
      </c>
      <c r="R16" s="122" t="e">
        <f>#REF!/(#REF!*Mil)</f>
        <v>#REF!</v>
      </c>
      <c r="S16" s="122" t="e">
        <f>#REF!/(#REF!*Mil)</f>
        <v>#REF!</v>
      </c>
      <c r="T16" s="122" t="e">
        <f>#REF!/(#REF!*Mil)</f>
        <v>#REF!</v>
      </c>
      <c r="U16" s="122" t="e">
        <f>#REF!/(#REF!*Mil)</f>
        <v>#REF!</v>
      </c>
      <c r="V16" s="122" t="e">
        <f>#REF!/(#REF!*Mil)</f>
        <v>#REF!</v>
      </c>
      <c r="W16" s="122" t="e">
        <f>V16</f>
        <v>#REF!</v>
      </c>
      <c r="X16" s="771" t="s">
        <v>639</v>
      </c>
      <c r="Y16" s="964"/>
    </row>
    <row r="17" spans="1:25">
      <c r="A17" s="1165" t="s">
        <v>643</v>
      </c>
      <c r="B17" s="1166"/>
      <c r="C17" s="1074" t="s">
        <v>621</v>
      </c>
      <c r="D17" s="1074"/>
      <c r="E17" s="1074"/>
      <c r="F17" s="1074"/>
      <c r="G17" s="1074"/>
      <c r="H17" s="1074"/>
      <c r="I17" s="1074"/>
      <c r="J17" s="1074"/>
      <c r="K17" s="1074"/>
      <c r="L17" s="1074"/>
      <c r="M17" s="1074"/>
      <c r="N17" s="1074"/>
      <c r="O17" s="1074"/>
      <c r="P17" s="1074"/>
      <c r="Q17" s="1074"/>
      <c r="R17" s="1074"/>
      <c r="S17" s="1074"/>
      <c r="T17" s="1074"/>
      <c r="U17" s="1074"/>
      <c r="V17" s="1074"/>
      <c r="W17" s="1074"/>
      <c r="X17" s="1074" t="s">
        <v>622</v>
      </c>
      <c r="Y17" s="1074" t="s">
        <v>623</v>
      </c>
    </row>
    <row r="18" spans="1:25" ht="12.75" customHeight="1">
      <c r="A18" s="1167"/>
      <c r="B18" s="1168"/>
      <c r="C18" s="1074" t="s">
        <v>552</v>
      </c>
      <c r="D18" s="1074"/>
      <c r="E18" s="1074" t="s">
        <v>315</v>
      </c>
      <c r="F18" s="1074" t="s">
        <v>624</v>
      </c>
      <c r="G18" s="1075" t="s">
        <v>625</v>
      </c>
      <c r="H18" s="1075"/>
      <c r="I18" s="1075"/>
      <c r="J18" s="1075"/>
      <c r="K18" s="1075"/>
      <c r="L18" s="1075"/>
      <c r="M18" s="1075"/>
      <c r="N18" s="1075"/>
      <c r="O18" s="1075"/>
      <c r="P18" s="1075"/>
      <c r="Q18" s="1075"/>
      <c r="R18" s="1075"/>
      <c r="S18" s="1075"/>
      <c r="T18" s="1075"/>
      <c r="U18" s="1075"/>
      <c r="V18" s="1075"/>
      <c r="W18" s="1075" t="s">
        <v>626</v>
      </c>
      <c r="X18" s="1074"/>
      <c r="Y18" s="1074"/>
    </row>
    <row r="19" spans="1:25">
      <c r="A19" s="1170"/>
      <c r="B19" s="1171"/>
      <c r="C19" s="1074"/>
      <c r="D19" s="1074"/>
      <c r="E19" s="1074"/>
      <c r="F19" s="1074"/>
      <c r="G19" s="1162">
        <v>0</v>
      </c>
      <c r="H19" s="1162">
        <v>1</v>
      </c>
      <c r="I19" s="1162">
        <v>2</v>
      </c>
      <c r="J19" s="1162">
        <v>3</v>
      </c>
      <c r="K19" s="1162">
        <v>4</v>
      </c>
      <c r="L19" s="1162">
        <v>5</v>
      </c>
      <c r="M19" s="1162">
        <v>6</v>
      </c>
      <c r="N19" s="1162">
        <v>7</v>
      </c>
      <c r="O19" s="1162">
        <v>8</v>
      </c>
      <c r="P19" s="1162">
        <v>9</v>
      </c>
      <c r="Q19" s="1162">
        <v>10</v>
      </c>
      <c r="R19" s="1162">
        <v>11</v>
      </c>
      <c r="S19" s="1162">
        <v>12</v>
      </c>
      <c r="T19" s="1162">
        <v>13</v>
      </c>
      <c r="U19" s="1162">
        <v>14</v>
      </c>
      <c r="V19" s="1162">
        <v>15</v>
      </c>
      <c r="W19" s="1075"/>
      <c r="X19" s="1074"/>
      <c r="Y19" s="992"/>
    </row>
    <row r="20" spans="1:25" ht="25.5" customHeight="1">
      <c r="A20" s="962">
        <v>1</v>
      </c>
      <c r="B20" s="982" t="s">
        <v>644</v>
      </c>
      <c r="C20" s="771" t="s">
        <v>93</v>
      </c>
      <c r="D20" s="8" t="s">
        <v>645</v>
      </c>
      <c r="E20" s="126" t="s">
        <v>354</v>
      </c>
      <c r="F20" s="129">
        <v>0</v>
      </c>
      <c r="G20" s="124">
        <v>0</v>
      </c>
      <c r="H20" s="177">
        <v>1</v>
      </c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24">
        <f>MAX(G20:V20)</f>
        <v>1</v>
      </c>
      <c r="X20" s="125" t="s">
        <v>646</v>
      </c>
      <c r="Y20" s="984" t="s">
        <v>630</v>
      </c>
    </row>
    <row r="21" spans="1:25" ht="25.5" customHeight="1">
      <c r="A21" s="962"/>
      <c r="B21" s="983"/>
      <c r="C21" s="771" t="s">
        <v>93</v>
      </c>
      <c r="D21" s="8" t="s">
        <v>647</v>
      </c>
      <c r="E21" s="126" t="s">
        <v>354</v>
      </c>
      <c r="F21" s="129">
        <v>0</v>
      </c>
      <c r="G21" s="124">
        <v>0</v>
      </c>
      <c r="H21" s="177">
        <v>1</v>
      </c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24">
        <f>MAX(G21:V21)</f>
        <v>1</v>
      </c>
      <c r="X21" s="125" t="s">
        <v>646</v>
      </c>
      <c r="Y21" s="985"/>
    </row>
    <row r="22" spans="1:25" ht="25.5" customHeight="1">
      <c r="A22" s="962"/>
      <c r="B22" s="983"/>
      <c r="C22" s="771" t="s">
        <v>93</v>
      </c>
      <c r="D22" s="8" t="s">
        <v>648</v>
      </c>
      <c r="E22" s="126" t="s">
        <v>649</v>
      </c>
      <c r="F22" s="129">
        <v>0</v>
      </c>
      <c r="G22" s="129">
        <v>1</v>
      </c>
      <c r="H22" s="130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24">
        <f>MAX(G22:V22)</f>
        <v>1</v>
      </c>
      <c r="X22" s="125"/>
      <c r="Y22" s="985"/>
    </row>
    <row r="23" spans="1:25" ht="25.5" customHeight="1">
      <c r="A23" s="962"/>
      <c r="B23" s="983"/>
      <c r="C23" s="771" t="s">
        <v>93</v>
      </c>
      <c r="D23" s="8" t="s">
        <v>650</v>
      </c>
      <c r="E23" s="771" t="s">
        <v>363</v>
      </c>
      <c r="F23" s="124">
        <v>0</v>
      </c>
      <c r="G23" s="124">
        <v>1</v>
      </c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>
        <f>MAX(G23:V23)</f>
        <v>1</v>
      </c>
      <c r="X23" s="125"/>
      <c r="Y23" s="985"/>
    </row>
    <row r="24" spans="1:25" ht="25.5" customHeight="1">
      <c r="A24" s="962"/>
      <c r="B24" s="983"/>
      <c r="C24" s="771" t="s">
        <v>93</v>
      </c>
      <c r="D24" s="8" t="s">
        <v>651</v>
      </c>
      <c r="E24" s="771" t="s">
        <v>363</v>
      </c>
      <c r="F24" s="124">
        <v>0</v>
      </c>
      <c r="G24" s="124">
        <v>0</v>
      </c>
      <c r="H24" s="124">
        <v>0</v>
      </c>
      <c r="I24" s="124">
        <v>1</v>
      </c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>
        <f>MAX(G24:V24)</f>
        <v>1</v>
      </c>
      <c r="X24" s="125"/>
      <c r="Y24" s="985"/>
    </row>
    <row r="25" spans="1:25" ht="25.5" customHeight="1">
      <c r="A25" s="963">
        <v>2</v>
      </c>
      <c r="B25" s="966" t="s">
        <v>652</v>
      </c>
      <c r="C25" s="771" t="s">
        <v>93</v>
      </c>
      <c r="D25" s="8" t="s">
        <v>653</v>
      </c>
      <c r="E25" s="126" t="s">
        <v>354</v>
      </c>
      <c r="F25" s="124">
        <v>0</v>
      </c>
      <c r="G25" s="124">
        <v>0</v>
      </c>
      <c r="H25" s="124">
        <v>1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4">
        <f t="shared" ref="W25:W41" si="0">MAX(G25:V25)</f>
        <v>1</v>
      </c>
      <c r="X25" s="125" t="s">
        <v>646</v>
      </c>
      <c r="Y25" s="963" t="s">
        <v>630</v>
      </c>
    </row>
    <row r="26" spans="1:25" ht="25.5" customHeight="1">
      <c r="A26" s="969"/>
      <c r="B26" s="967"/>
      <c r="C26" s="771" t="s">
        <v>93</v>
      </c>
      <c r="D26" s="8" t="s">
        <v>654</v>
      </c>
      <c r="E26" s="126" t="s">
        <v>655</v>
      </c>
      <c r="F26" s="124">
        <v>0</v>
      </c>
      <c r="G26" s="124">
        <v>0</v>
      </c>
      <c r="H26" s="124">
        <v>0</v>
      </c>
      <c r="I26" s="124">
        <v>3</v>
      </c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4">
        <f t="shared" si="0"/>
        <v>3</v>
      </c>
      <c r="X26" s="125" t="s">
        <v>646</v>
      </c>
      <c r="Y26" s="969"/>
    </row>
    <row r="27" spans="1:25" ht="25.5" customHeight="1">
      <c r="A27" s="964"/>
      <c r="B27" s="968"/>
      <c r="C27" s="771" t="s">
        <v>93</v>
      </c>
      <c r="D27" s="8" t="s">
        <v>656</v>
      </c>
      <c r="E27" s="126" t="s">
        <v>657</v>
      </c>
      <c r="F27" s="124">
        <v>0</v>
      </c>
      <c r="G27" s="124">
        <v>0</v>
      </c>
      <c r="H27" s="124">
        <v>0</v>
      </c>
      <c r="I27" s="124">
        <v>1</v>
      </c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4">
        <f t="shared" si="0"/>
        <v>1</v>
      </c>
      <c r="X27" s="125" t="s">
        <v>646</v>
      </c>
      <c r="Y27" s="964"/>
    </row>
    <row r="28" spans="1:25" ht="25.5" customHeight="1">
      <c r="A28" s="963">
        <v>3</v>
      </c>
      <c r="B28" s="966" t="s">
        <v>658</v>
      </c>
      <c r="C28" s="771" t="s">
        <v>93</v>
      </c>
      <c r="D28" s="8" t="s">
        <v>659</v>
      </c>
      <c r="E28" s="771" t="s">
        <v>363</v>
      </c>
      <c r="F28" s="124">
        <v>0</v>
      </c>
      <c r="G28" s="124">
        <v>0</v>
      </c>
      <c r="H28" s="124">
        <v>0</v>
      </c>
      <c r="I28" s="124">
        <v>1</v>
      </c>
      <c r="J28" s="124">
        <v>3</v>
      </c>
      <c r="K28" s="124">
        <v>4</v>
      </c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>
        <f>MAX(G28:V28)</f>
        <v>4</v>
      </c>
      <c r="X28" s="125" t="s">
        <v>646</v>
      </c>
      <c r="Y28" s="963" t="s">
        <v>630</v>
      </c>
    </row>
    <row r="29" spans="1:25" ht="25.5" customHeight="1">
      <c r="A29" s="969"/>
      <c r="B29" s="967"/>
      <c r="C29" s="771" t="s">
        <v>93</v>
      </c>
      <c r="D29" s="8" t="s">
        <v>660</v>
      </c>
      <c r="E29" s="771" t="s">
        <v>363</v>
      </c>
      <c r="F29" s="124">
        <v>0</v>
      </c>
      <c r="G29" s="124">
        <v>0</v>
      </c>
      <c r="H29" s="124">
        <v>0</v>
      </c>
      <c r="I29" s="124">
        <v>2</v>
      </c>
      <c r="J29" s="124">
        <v>4</v>
      </c>
      <c r="K29" s="124">
        <v>6</v>
      </c>
      <c r="L29" s="124">
        <v>7</v>
      </c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>
        <f>MAX(G29:V29)</f>
        <v>7</v>
      </c>
      <c r="X29" s="125" t="s">
        <v>646</v>
      </c>
      <c r="Y29" s="969"/>
    </row>
    <row r="30" spans="1:25" ht="25.5" customHeight="1">
      <c r="A30" s="969"/>
      <c r="B30" s="967"/>
      <c r="C30" s="771" t="s">
        <v>93</v>
      </c>
      <c r="D30" s="8" t="s">
        <v>661</v>
      </c>
      <c r="E30" s="771" t="s">
        <v>363</v>
      </c>
      <c r="F30" s="124">
        <v>0</v>
      </c>
      <c r="G30" s="124">
        <v>0</v>
      </c>
      <c r="H30" s="124">
        <v>0</v>
      </c>
      <c r="I30" s="124">
        <v>1</v>
      </c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>
        <f>MAX(G30:V30)</f>
        <v>1</v>
      </c>
      <c r="X30" s="125"/>
      <c r="Y30" s="969"/>
    </row>
    <row r="31" spans="1:25" ht="25.5" customHeight="1">
      <c r="A31" s="969"/>
      <c r="B31" s="967"/>
      <c r="C31" s="771" t="s">
        <v>93</v>
      </c>
      <c r="D31" s="8" t="s">
        <v>662</v>
      </c>
      <c r="E31" s="771" t="s">
        <v>370</v>
      </c>
      <c r="F31" s="124">
        <v>0</v>
      </c>
      <c r="G31" s="124">
        <v>0</v>
      </c>
      <c r="H31" s="124">
        <v>1</v>
      </c>
      <c r="I31" s="124">
        <v>2</v>
      </c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>
        <f>MAX(G31:V31)</f>
        <v>2</v>
      </c>
      <c r="X31" s="125"/>
      <c r="Y31" s="969"/>
    </row>
    <row r="32" spans="1:25" ht="25.5" customHeight="1">
      <c r="A32" s="964"/>
      <c r="B32" s="968"/>
      <c r="C32" s="771" t="s">
        <v>93</v>
      </c>
      <c r="D32" s="8" t="s">
        <v>663</v>
      </c>
      <c r="E32" s="771" t="s">
        <v>363</v>
      </c>
      <c r="F32" s="124">
        <v>0</v>
      </c>
      <c r="G32" s="124">
        <v>0</v>
      </c>
      <c r="H32" s="124">
        <v>1</v>
      </c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>
        <f>MAX(G32:V32)</f>
        <v>1</v>
      </c>
      <c r="X32" s="125" t="s">
        <v>646</v>
      </c>
      <c r="Y32" s="964"/>
    </row>
    <row r="33" spans="1:25" ht="25.5" hidden="1" customHeight="1" outlineLevel="1">
      <c r="A33" s="963">
        <v>4</v>
      </c>
      <c r="B33" s="966"/>
      <c r="C33" s="771" t="s">
        <v>93</v>
      </c>
      <c r="D33" s="8"/>
      <c r="E33" s="126"/>
      <c r="F33" s="124">
        <v>0</v>
      </c>
      <c r="G33" s="123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4">
        <f t="shared" si="0"/>
        <v>0</v>
      </c>
      <c r="X33" s="125" t="s">
        <v>646</v>
      </c>
      <c r="Y33" s="963" t="s">
        <v>630</v>
      </c>
    </row>
    <row r="34" spans="1:25" ht="25.5" hidden="1" customHeight="1" outlineLevel="1">
      <c r="A34" s="969"/>
      <c r="B34" s="986"/>
      <c r="C34" s="771"/>
      <c r="D34" s="8"/>
      <c r="E34" s="126"/>
      <c r="F34" s="124">
        <v>0</v>
      </c>
      <c r="G34" s="129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4">
        <f t="shared" si="0"/>
        <v>0</v>
      </c>
      <c r="X34" s="125"/>
      <c r="Y34" s="969"/>
    </row>
    <row r="35" spans="1:25" ht="25.5" hidden="1" customHeight="1" outlineLevel="1">
      <c r="A35" s="969"/>
      <c r="B35" s="986"/>
      <c r="C35" s="771" t="s">
        <v>93</v>
      </c>
      <c r="D35" s="8"/>
      <c r="E35" s="126"/>
      <c r="F35" s="124">
        <v>0</v>
      </c>
      <c r="G35" s="130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4">
        <f t="shared" si="0"/>
        <v>0</v>
      </c>
      <c r="X35" s="125"/>
      <c r="Y35" s="969"/>
    </row>
    <row r="36" spans="1:25" ht="25.5" hidden="1" customHeight="1" outlineLevel="1">
      <c r="A36" s="964"/>
      <c r="B36" s="968"/>
      <c r="C36" s="771" t="s">
        <v>93</v>
      </c>
      <c r="D36" s="8"/>
      <c r="E36" s="126"/>
      <c r="F36" s="124">
        <v>0</v>
      </c>
      <c r="G36" s="130"/>
      <c r="H36" s="128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4">
        <f t="shared" si="0"/>
        <v>0</v>
      </c>
      <c r="X36" s="125" t="s">
        <v>646</v>
      </c>
      <c r="Y36" s="964"/>
    </row>
    <row r="37" spans="1:25" ht="25.5" hidden="1" customHeight="1" outlineLevel="1">
      <c r="A37" s="963">
        <v>5</v>
      </c>
      <c r="B37" s="966"/>
      <c r="C37" s="771" t="s">
        <v>93</v>
      </c>
      <c r="D37" s="8"/>
      <c r="E37" s="126"/>
      <c r="F37" s="124">
        <v>0</v>
      </c>
      <c r="G37" s="124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4">
        <f t="shared" si="0"/>
        <v>0</v>
      </c>
      <c r="X37" s="125"/>
      <c r="Y37" s="963"/>
    </row>
    <row r="38" spans="1:25" ht="25.5" hidden="1" customHeight="1" outlineLevel="1">
      <c r="A38" s="969"/>
      <c r="B38" s="967"/>
      <c r="C38" s="771" t="s">
        <v>93</v>
      </c>
      <c r="D38" s="8"/>
      <c r="E38" s="126"/>
      <c r="F38" s="124">
        <v>0</v>
      </c>
      <c r="G38" s="124"/>
      <c r="H38" s="128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4">
        <f t="shared" si="0"/>
        <v>0</v>
      </c>
      <c r="X38" s="125"/>
      <c r="Y38" s="969"/>
    </row>
    <row r="39" spans="1:25" ht="25.5" hidden="1" customHeight="1" outlineLevel="1">
      <c r="A39" s="964"/>
      <c r="B39" s="968"/>
      <c r="C39" s="771" t="s">
        <v>93</v>
      </c>
      <c r="D39" s="8"/>
      <c r="E39" s="126"/>
      <c r="F39" s="124">
        <v>0</v>
      </c>
      <c r="G39" s="124"/>
      <c r="H39" s="128"/>
      <c r="I39" s="128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4">
        <f t="shared" si="0"/>
        <v>0</v>
      </c>
      <c r="X39" s="125"/>
      <c r="Y39" s="964"/>
    </row>
    <row r="40" spans="1:25" ht="25.5" customHeight="1" collapsed="1">
      <c r="A40" s="772">
        <v>4</v>
      </c>
      <c r="B40" s="777" t="s">
        <v>664</v>
      </c>
      <c r="C40" s="771" t="s">
        <v>93</v>
      </c>
      <c r="D40" s="8" t="s">
        <v>665</v>
      </c>
      <c r="E40" s="126" t="s">
        <v>666</v>
      </c>
      <c r="F40" s="124">
        <v>1</v>
      </c>
      <c r="G40" s="124">
        <v>1</v>
      </c>
      <c r="H40" s="128"/>
      <c r="I40" s="128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4">
        <f t="shared" si="0"/>
        <v>1</v>
      </c>
      <c r="X40" s="125"/>
      <c r="Y40" s="776"/>
    </row>
    <row r="41" spans="1:25" ht="25.5" customHeight="1">
      <c r="A41" s="963">
        <v>5</v>
      </c>
      <c r="B41" s="966" t="s">
        <v>667</v>
      </c>
      <c r="C41" s="771" t="s">
        <v>93</v>
      </c>
      <c r="D41" s="8" t="s">
        <v>668</v>
      </c>
      <c r="E41" s="126" t="s">
        <v>669</v>
      </c>
      <c r="F41" s="124">
        <v>3</v>
      </c>
      <c r="G41" s="124">
        <v>3</v>
      </c>
      <c r="H41" s="353"/>
      <c r="I41" s="353">
        <v>1</v>
      </c>
      <c r="J41" s="353"/>
      <c r="K41" s="353"/>
      <c r="L41" s="353">
        <v>1</v>
      </c>
      <c r="M41" s="353">
        <v>1</v>
      </c>
      <c r="N41" s="353"/>
      <c r="O41" s="353"/>
      <c r="P41" s="353"/>
      <c r="Q41" s="353"/>
      <c r="R41" s="127"/>
      <c r="S41" s="127"/>
      <c r="T41" s="127"/>
      <c r="U41" s="127"/>
      <c r="V41" s="127"/>
      <c r="W41" s="124">
        <f t="shared" si="0"/>
        <v>3</v>
      </c>
      <c r="X41" s="125" t="s">
        <v>646</v>
      </c>
      <c r="Y41" s="963" t="s">
        <v>630</v>
      </c>
    </row>
    <row r="42" spans="1:25" ht="25.5" customHeight="1">
      <c r="A42" s="969"/>
      <c r="B42" s="967"/>
      <c r="C42" s="771" t="s">
        <v>93</v>
      </c>
      <c r="D42" s="8" t="s">
        <v>670</v>
      </c>
      <c r="E42" s="126" t="s">
        <v>354</v>
      </c>
      <c r="F42" s="124">
        <v>3</v>
      </c>
      <c r="G42" s="124"/>
      <c r="H42" s="354"/>
      <c r="I42" s="353"/>
      <c r="J42" s="353"/>
      <c r="K42" s="353"/>
      <c r="L42" s="353">
        <v>3</v>
      </c>
      <c r="M42" s="353"/>
      <c r="N42" s="353"/>
      <c r="O42" s="353"/>
      <c r="P42" s="353"/>
      <c r="Q42" s="353"/>
      <c r="R42" s="127"/>
      <c r="S42" s="127"/>
      <c r="T42" s="127"/>
      <c r="U42" s="127"/>
      <c r="V42" s="127"/>
      <c r="W42" s="124">
        <v>3</v>
      </c>
      <c r="X42" s="125" t="s">
        <v>646</v>
      </c>
      <c r="Y42" s="969"/>
    </row>
    <row r="43" spans="1:25" ht="25.5" customHeight="1">
      <c r="A43" s="964"/>
      <c r="B43" s="968"/>
      <c r="C43" s="771" t="s">
        <v>93</v>
      </c>
      <c r="D43" s="8" t="s">
        <v>671</v>
      </c>
      <c r="E43" s="126" t="s">
        <v>669</v>
      </c>
      <c r="F43" s="124">
        <v>4</v>
      </c>
      <c r="G43" s="124">
        <v>1</v>
      </c>
      <c r="H43" s="354"/>
      <c r="I43" s="355">
        <v>1</v>
      </c>
      <c r="J43" s="353"/>
      <c r="K43" s="353"/>
      <c r="L43" s="353">
        <v>1</v>
      </c>
      <c r="M43" s="353">
        <v>1</v>
      </c>
      <c r="N43" s="353"/>
      <c r="O43" s="353"/>
      <c r="P43" s="353"/>
      <c r="Q43" s="353"/>
      <c r="R43" s="127"/>
      <c r="S43" s="127"/>
      <c r="T43" s="127"/>
      <c r="U43" s="127"/>
      <c r="V43" s="127"/>
      <c r="W43" s="124">
        <v>4</v>
      </c>
      <c r="X43" s="125" t="s">
        <v>646</v>
      </c>
      <c r="Y43" s="964"/>
    </row>
    <row r="44" spans="1:25" ht="26.45">
      <c r="A44" s="1172" t="s">
        <v>672</v>
      </c>
      <c r="B44" s="1173"/>
      <c r="C44" s="1074" t="s">
        <v>621</v>
      </c>
      <c r="D44" s="1074"/>
      <c r="E44" s="1074"/>
      <c r="F44" s="1074"/>
      <c r="G44" s="1074"/>
      <c r="H44" s="1074"/>
      <c r="I44" s="1074"/>
      <c r="J44" s="1074"/>
      <c r="K44" s="1074"/>
      <c r="L44" s="1074"/>
      <c r="M44" s="1074"/>
      <c r="N44" s="1074"/>
      <c r="O44" s="1074"/>
      <c r="P44" s="1074"/>
      <c r="Q44" s="1074"/>
      <c r="R44" s="1074"/>
      <c r="S44" s="1074"/>
      <c r="T44" s="1074"/>
      <c r="U44" s="1074"/>
      <c r="V44" s="1074"/>
      <c r="W44" s="1074"/>
      <c r="X44" s="1129" t="s">
        <v>622</v>
      </c>
      <c r="Y44" s="1129" t="s">
        <v>623</v>
      </c>
    </row>
    <row r="45" spans="1:25" ht="39.6">
      <c r="A45" s="60">
        <v>1</v>
      </c>
      <c r="B45" s="175" t="s">
        <v>495</v>
      </c>
      <c r="C45" s="134">
        <v>6</v>
      </c>
      <c r="D45" s="34" t="s">
        <v>651</v>
      </c>
      <c r="E45" s="987" t="e">
        <f>#REF!</f>
        <v>#REF!</v>
      </c>
      <c r="F45" s="988"/>
      <c r="G45" s="133" t="s">
        <v>673</v>
      </c>
      <c r="H45" s="132"/>
      <c r="I45" s="132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4"/>
      <c r="X45" s="125" t="s">
        <v>646</v>
      </c>
      <c r="Y45" s="963" t="s">
        <v>630</v>
      </c>
    </row>
    <row r="46" spans="1:25" ht="39.6">
      <c r="A46" s="60">
        <v>2</v>
      </c>
      <c r="B46" s="176" t="s">
        <v>674</v>
      </c>
      <c r="C46" s="134">
        <v>4</v>
      </c>
      <c r="D46" s="34" t="s">
        <v>675</v>
      </c>
      <c r="E46" s="987" t="e">
        <f>#REF!</f>
        <v>#REF!</v>
      </c>
      <c r="F46" s="988"/>
      <c r="G46" s="67" t="s">
        <v>673</v>
      </c>
      <c r="H46" s="775"/>
      <c r="I46" s="775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47"/>
      <c r="X46" s="125" t="s">
        <v>646</v>
      </c>
      <c r="Y46" s="969"/>
    </row>
    <row r="47" spans="1:25" ht="39.75" customHeight="1">
      <c r="A47" s="60">
        <v>3</v>
      </c>
      <c r="B47" s="131" t="s">
        <v>676</v>
      </c>
      <c r="C47" s="134">
        <v>1</v>
      </c>
      <c r="D47" s="34" t="s">
        <v>677</v>
      </c>
      <c r="E47" s="987" t="e">
        <f>#REF!</f>
        <v>#REF!</v>
      </c>
      <c r="F47" s="988"/>
      <c r="G47" s="67" t="s">
        <v>673</v>
      </c>
      <c r="H47" s="775"/>
      <c r="I47" s="760"/>
      <c r="J47" s="23"/>
      <c r="K47" s="760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47"/>
      <c r="X47" s="125"/>
      <c r="Y47" s="969"/>
    </row>
    <row r="48" spans="1:25" ht="26.45">
      <c r="A48" s="60">
        <v>4</v>
      </c>
      <c r="B48" s="131" t="e">
        <f>'Inversion formato'!B81</f>
        <v>#REF!</v>
      </c>
      <c r="C48" s="134">
        <v>1</v>
      </c>
      <c r="D48" s="34" t="s">
        <v>678</v>
      </c>
      <c r="E48" s="987" t="e">
        <f>#REF!</f>
        <v>#REF!</v>
      </c>
      <c r="F48" s="988"/>
      <c r="G48" s="67" t="s">
        <v>673</v>
      </c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47"/>
      <c r="X48" s="125" t="s">
        <v>646</v>
      </c>
      <c r="Y48" s="969"/>
    </row>
    <row r="49" spans="1:25" ht="26.45">
      <c r="A49" s="60">
        <v>5</v>
      </c>
      <c r="B49" s="131" t="e">
        <f>'Inversion formato'!B82</f>
        <v>#REF!</v>
      </c>
      <c r="C49" s="134">
        <v>4</v>
      </c>
      <c r="D49" s="34" t="s">
        <v>679</v>
      </c>
      <c r="E49" s="987" t="e">
        <f>#REF!</f>
        <v>#REF!</v>
      </c>
      <c r="F49" s="988"/>
      <c r="G49" s="67" t="s">
        <v>673</v>
      </c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47"/>
      <c r="X49" s="125" t="s">
        <v>646</v>
      </c>
      <c r="Y49" s="969"/>
    </row>
    <row r="50" spans="1:25" ht="26.45" hidden="1">
      <c r="A50" s="60">
        <v>6</v>
      </c>
      <c r="B50" s="131"/>
      <c r="C50" s="134"/>
      <c r="D50" s="34"/>
      <c r="E50" s="987"/>
      <c r="F50" s="988"/>
      <c r="G50" s="67" t="s">
        <v>680</v>
      </c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47"/>
      <c r="X50" s="125" t="s">
        <v>646</v>
      </c>
      <c r="Y50" s="969"/>
    </row>
    <row r="51" spans="1:25" hidden="1">
      <c r="A51" s="60">
        <v>7</v>
      </c>
      <c r="B51" s="131"/>
      <c r="C51" s="134"/>
      <c r="D51" s="34"/>
      <c r="E51" s="987"/>
      <c r="F51" s="988"/>
      <c r="G51" s="67" t="s">
        <v>680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47"/>
      <c r="X51" s="125"/>
      <c r="Y51" s="969"/>
    </row>
    <row r="52" spans="1:25" ht="26.45">
      <c r="A52" s="49"/>
      <c r="B52" s="50"/>
      <c r="C52" s="49"/>
      <c r="D52" s="1174" t="s">
        <v>681</v>
      </c>
      <c r="E52" s="1175" t="e">
        <f>SUM(E45:F51)</f>
        <v>#REF!</v>
      </c>
      <c r="F52" s="1176"/>
      <c r="G52" s="1177" t="s">
        <v>673</v>
      </c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50"/>
      <c r="X52" s="125" t="s">
        <v>646</v>
      </c>
      <c r="Y52" s="964"/>
    </row>
  </sheetData>
  <mergeCells count="61">
    <mergeCell ref="E51:F51"/>
    <mergeCell ref="Y45:Y52"/>
    <mergeCell ref="E46:F46"/>
    <mergeCell ref="E52:F52"/>
    <mergeCell ref="E47:F47"/>
    <mergeCell ref="E50:F50"/>
    <mergeCell ref="A41:A43"/>
    <mergeCell ref="B41:B43"/>
    <mergeCell ref="E45:F45"/>
    <mergeCell ref="E48:F48"/>
    <mergeCell ref="E49:F49"/>
    <mergeCell ref="Y41:Y43"/>
    <mergeCell ref="A44:B44"/>
    <mergeCell ref="C44:W44"/>
    <mergeCell ref="A20:A24"/>
    <mergeCell ref="B20:B24"/>
    <mergeCell ref="Y20:Y24"/>
    <mergeCell ref="A25:A27"/>
    <mergeCell ref="B25:B27"/>
    <mergeCell ref="Y25:Y27"/>
    <mergeCell ref="Y28:Y32"/>
    <mergeCell ref="A33:A36"/>
    <mergeCell ref="B33:B36"/>
    <mergeCell ref="Y33:Y36"/>
    <mergeCell ref="A28:A32"/>
    <mergeCell ref="B28:B32"/>
    <mergeCell ref="A37:A39"/>
    <mergeCell ref="A6:B6"/>
    <mergeCell ref="Y6:Y9"/>
    <mergeCell ref="A10:B12"/>
    <mergeCell ref="C10:W10"/>
    <mergeCell ref="X10:X12"/>
    <mergeCell ref="Y10:Y12"/>
    <mergeCell ref="C11:D12"/>
    <mergeCell ref="E11:E12"/>
    <mergeCell ref="F11:F12"/>
    <mergeCell ref="G11:V11"/>
    <mergeCell ref="A7:B9"/>
    <mergeCell ref="A3:B5"/>
    <mergeCell ref="C3:W3"/>
    <mergeCell ref="X3:X5"/>
    <mergeCell ref="Y3:Y5"/>
    <mergeCell ref="C4:D5"/>
    <mergeCell ref="E4:E5"/>
    <mergeCell ref="F4:F5"/>
    <mergeCell ref="G4:V4"/>
    <mergeCell ref="W4:W5"/>
    <mergeCell ref="B37:B39"/>
    <mergeCell ref="Y37:Y39"/>
    <mergeCell ref="W11:W12"/>
    <mergeCell ref="A13:B16"/>
    <mergeCell ref="Y13:Y16"/>
    <mergeCell ref="A17:B19"/>
    <mergeCell ref="C17:W17"/>
    <mergeCell ref="X17:X19"/>
    <mergeCell ref="Y17:Y19"/>
    <mergeCell ref="C18:D19"/>
    <mergeCell ref="E18:E19"/>
    <mergeCell ref="F18:F19"/>
    <mergeCell ref="G18:V18"/>
    <mergeCell ref="W18:W19"/>
  </mergeCells>
  <phoneticPr fontId="2" type="noConversion"/>
  <pageMargins left="0.75" right="0.75" top="1" bottom="1" header="0" footer="0"/>
  <pageSetup paperSize="9" orientation="portrait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4"/>
  <dimension ref="A1:AJ112"/>
  <sheetViews>
    <sheetView workbookViewId="0">
      <pane ySplit="9960" topLeftCell="A74" activePane="bottomLeft"/>
      <selection pane="bottomLeft" activeCell="A74" sqref="A74"/>
      <selection activeCell="C25" sqref="C25"/>
    </sheetView>
  </sheetViews>
  <sheetFormatPr defaultColWidth="10.7109375" defaultRowHeight="13.15" outlineLevelRow="1" outlineLevelCol="1"/>
  <cols>
    <col min="1" max="1" width="8.85546875" customWidth="1"/>
    <col min="2" max="2" width="7.28515625" customWidth="1"/>
    <col min="3" max="3" width="19.85546875" customWidth="1"/>
    <col min="4" max="7" width="5.7109375" customWidth="1"/>
    <col min="8" max="8" width="6.85546875" customWidth="1"/>
    <col min="9" max="12" width="5.7109375" customWidth="1"/>
    <col min="13" max="13" width="7.28515625" customWidth="1"/>
    <col min="14" max="14" width="6.42578125" customWidth="1"/>
    <col min="15" max="18" width="5.7109375" customWidth="1"/>
    <col min="19" max="26" width="5.7109375" customWidth="1" outlineLevel="1"/>
    <col min="27" max="27" width="4.7109375" customWidth="1"/>
    <col min="28" max="28" width="11.42578125" customWidth="1"/>
    <col min="29" max="29" width="11.42578125" style="9" customWidth="1"/>
    <col min="30" max="31" width="11.42578125" customWidth="1"/>
    <col min="32" max="32" width="4.42578125" customWidth="1"/>
  </cols>
  <sheetData>
    <row r="1" spans="1:36">
      <c r="A1" s="1130" t="s">
        <v>682</v>
      </c>
      <c r="B1" s="760"/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760"/>
      <c r="N1" s="760"/>
      <c r="O1" s="760"/>
      <c r="P1" s="760"/>
      <c r="Q1" s="760"/>
      <c r="R1" s="760"/>
      <c r="S1" s="760"/>
      <c r="T1" s="760"/>
      <c r="U1" s="760"/>
      <c r="V1" s="760"/>
      <c r="W1" s="760"/>
      <c r="X1" s="760"/>
      <c r="Y1" s="760"/>
      <c r="Z1" s="760"/>
      <c r="AA1" s="760"/>
      <c r="AB1" s="760"/>
      <c r="AD1" s="760"/>
      <c r="AE1" s="760"/>
      <c r="AF1" s="760"/>
      <c r="AG1" s="760"/>
      <c r="AH1" s="760"/>
      <c r="AI1" s="760"/>
      <c r="AJ1" s="760"/>
    </row>
    <row r="3" spans="1:36">
      <c r="A3" s="992" t="s">
        <v>683</v>
      </c>
      <c r="B3" s="992" t="s">
        <v>487</v>
      </c>
      <c r="C3" s="992" t="s">
        <v>684</v>
      </c>
      <c r="D3" s="995" t="s">
        <v>685</v>
      </c>
      <c r="E3" s="996"/>
      <c r="F3" s="996"/>
      <c r="G3" s="996"/>
      <c r="H3" s="996"/>
      <c r="I3" s="996"/>
      <c r="J3" s="996"/>
      <c r="K3" s="996"/>
      <c r="L3" s="996"/>
      <c r="M3" s="996"/>
      <c r="N3" s="996"/>
      <c r="O3" s="996"/>
      <c r="P3" s="996"/>
      <c r="Q3" s="996"/>
      <c r="R3" s="996"/>
      <c r="S3" s="996"/>
      <c r="T3" s="996"/>
      <c r="U3" s="996"/>
      <c r="V3" s="996"/>
      <c r="W3" s="996"/>
      <c r="X3" s="996"/>
      <c r="Y3" s="996"/>
      <c r="Z3" s="997"/>
      <c r="AA3" s="760"/>
      <c r="AB3" s="1074" t="s">
        <v>686</v>
      </c>
      <c r="AC3" s="1074"/>
      <c r="AD3" s="1074"/>
      <c r="AE3" s="1074"/>
      <c r="AF3" s="760"/>
      <c r="AG3" s="1074" t="s">
        <v>687</v>
      </c>
      <c r="AH3" s="1074"/>
      <c r="AI3" s="1074"/>
      <c r="AJ3" s="1074"/>
    </row>
    <row r="4" spans="1:36" ht="87.75" customHeight="1">
      <c r="A4" s="993"/>
      <c r="B4" s="993"/>
      <c r="C4" s="994"/>
      <c r="D4" s="1" t="s">
        <v>688</v>
      </c>
      <c r="E4" s="1" t="s">
        <v>689</v>
      </c>
      <c r="F4" s="1" t="s">
        <v>690</v>
      </c>
      <c r="G4" s="1" t="s">
        <v>691</v>
      </c>
      <c r="H4" s="1" t="s">
        <v>692</v>
      </c>
      <c r="I4" s="1" t="s">
        <v>693</v>
      </c>
      <c r="J4" s="1" t="s">
        <v>694</v>
      </c>
      <c r="K4" s="1" t="s">
        <v>695</v>
      </c>
      <c r="L4" s="1" t="s">
        <v>696</v>
      </c>
      <c r="M4" s="1" t="s">
        <v>697</v>
      </c>
      <c r="N4" s="1" t="s">
        <v>698</v>
      </c>
      <c r="O4" s="1" t="s">
        <v>699</v>
      </c>
      <c r="P4" s="1" t="s">
        <v>700</v>
      </c>
      <c r="Q4" s="1" t="s">
        <v>701</v>
      </c>
      <c r="R4" s="1" t="s">
        <v>702</v>
      </c>
      <c r="S4" s="1" t="s">
        <v>703</v>
      </c>
      <c r="T4" s="1" t="s">
        <v>704</v>
      </c>
      <c r="U4" s="1" t="s">
        <v>705</v>
      </c>
      <c r="V4" s="1" t="s">
        <v>706</v>
      </c>
      <c r="W4" s="1" t="s">
        <v>707</v>
      </c>
      <c r="X4" s="1" t="s">
        <v>708</v>
      </c>
      <c r="Y4" s="1" t="s">
        <v>709</v>
      </c>
      <c r="Z4" s="1" t="s">
        <v>710</v>
      </c>
      <c r="AA4" s="760"/>
      <c r="AB4" s="35" t="s">
        <v>711</v>
      </c>
      <c r="AC4" s="35" t="s">
        <v>712</v>
      </c>
      <c r="AD4" s="35" t="s">
        <v>713</v>
      </c>
      <c r="AE4" s="1" t="s">
        <v>509</v>
      </c>
      <c r="AF4" s="760"/>
      <c r="AG4" s="36" t="s">
        <v>711</v>
      </c>
      <c r="AH4" s="36" t="s">
        <v>712</v>
      </c>
      <c r="AI4" s="36" t="s">
        <v>713</v>
      </c>
      <c r="AJ4" s="36" t="s">
        <v>509</v>
      </c>
    </row>
    <row r="5" spans="1:36" s="7" customFormat="1" ht="23.25" customHeight="1">
      <c r="A5" s="998"/>
      <c r="B5" s="4">
        <v>1</v>
      </c>
      <c r="C5" s="6"/>
      <c r="D5" s="5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B5" s="3">
        <v>1</v>
      </c>
      <c r="AC5" s="3">
        <v>1</v>
      </c>
      <c r="AD5" s="3">
        <v>1</v>
      </c>
      <c r="AE5" s="3" t="e">
        <f t="shared" ref="AE5:AE11" si="0">INDEX(AB5:AD5,Escenario1)</f>
        <v>#REF!</v>
      </c>
      <c r="AG5" s="3">
        <v>1</v>
      </c>
      <c r="AH5" s="3">
        <v>1</v>
      </c>
      <c r="AI5" s="3">
        <v>1</v>
      </c>
      <c r="AJ5" s="3" t="e">
        <f t="shared" ref="AJ5:AJ18" si="1">INDEX(AG5:AI5,Escenario2)</f>
        <v>#REF!</v>
      </c>
    </row>
    <row r="6" spans="1:36" s="7" customFormat="1" ht="23.25" customHeight="1">
      <c r="A6" s="999"/>
      <c r="B6" s="4">
        <v>2</v>
      </c>
      <c r="C6" s="6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B6" s="3">
        <v>1</v>
      </c>
      <c r="AC6" s="3">
        <v>1</v>
      </c>
      <c r="AD6" s="3">
        <v>1</v>
      </c>
      <c r="AE6" s="3" t="e">
        <f t="shared" si="0"/>
        <v>#REF!</v>
      </c>
      <c r="AG6" s="3">
        <v>1</v>
      </c>
      <c r="AH6" s="3">
        <v>1</v>
      </c>
      <c r="AI6" s="3">
        <v>1</v>
      </c>
      <c r="AJ6" s="3" t="e">
        <f t="shared" si="1"/>
        <v>#REF!</v>
      </c>
    </row>
    <row r="7" spans="1:36" s="7" customFormat="1" ht="23.25" customHeight="1">
      <c r="A7" s="999"/>
      <c r="B7" s="4">
        <v>3</v>
      </c>
      <c r="C7" s="6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B7" s="3">
        <v>1</v>
      </c>
      <c r="AC7" s="3">
        <v>1</v>
      </c>
      <c r="AD7" s="3">
        <v>1</v>
      </c>
      <c r="AE7" s="3" t="e">
        <f t="shared" si="0"/>
        <v>#REF!</v>
      </c>
      <c r="AG7" s="3">
        <v>1</v>
      </c>
      <c r="AH7" s="3">
        <v>1</v>
      </c>
      <c r="AI7" s="3">
        <v>1</v>
      </c>
      <c r="AJ7" s="3" t="e">
        <f t="shared" si="1"/>
        <v>#REF!</v>
      </c>
    </row>
    <row r="8" spans="1:36" s="7" customFormat="1" ht="23.25" customHeight="1">
      <c r="A8" s="999"/>
      <c r="B8" s="4">
        <v>4</v>
      </c>
      <c r="C8" s="6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B8" s="3">
        <v>1</v>
      </c>
      <c r="AC8" s="3">
        <v>1</v>
      </c>
      <c r="AD8" s="3">
        <v>1</v>
      </c>
      <c r="AE8" s="3" t="e">
        <f t="shared" si="0"/>
        <v>#REF!</v>
      </c>
      <c r="AG8" s="3">
        <v>1</v>
      </c>
      <c r="AH8" s="3">
        <v>1</v>
      </c>
      <c r="AI8" s="3">
        <v>1</v>
      </c>
      <c r="AJ8" s="3" t="e">
        <f t="shared" si="1"/>
        <v>#REF!</v>
      </c>
    </row>
    <row r="9" spans="1:36" s="7" customFormat="1" ht="23.25" customHeight="1">
      <c r="A9" s="999"/>
      <c r="B9" s="4">
        <v>5</v>
      </c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B9" s="3">
        <v>1</v>
      </c>
      <c r="AC9" s="3">
        <v>1</v>
      </c>
      <c r="AD9" s="3">
        <v>1</v>
      </c>
      <c r="AE9" s="3" t="e">
        <f t="shared" si="0"/>
        <v>#REF!</v>
      </c>
      <c r="AG9" s="3">
        <v>1</v>
      </c>
      <c r="AH9" s="3">
        <v>1</v>
      </c>
      <c r="AI9" s="3">
        <v>1</v>
      </c>
      <c r="AJ9" s="3" t="e">
        <f t="shared" si="1"/>
        <v>#REF!</v>
      </c>
    </row>
    <row r="10" spans="1:36" s="7" customFormat="1" ht="23.25" customHeight="1">
      <c r="A10" s="999"/>
      <c r="B10" s="4">
        <v>6</v>
      </c>
      <c r="C10" s="6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B10" s="3">
        <v>1</v>
      </c>
      <c r="AC10" s="3">
        <v>1</v>
      </c>
      <c r="AD10" s="3">
        <v>1</v>
      </c>
      <c r="AE10" s="3" t="e">
        <f t="shared" si="0"/>
        <v>#REF!</v>
      </c>
      <c r="AG10" s="3">
        <v>1</v>
      </c>
      <c r="AH10" s="3">
        <v>1</v>
      </c>
      <c r="AI10" s="3">
        <v>1</v>
      </c>
      <c r="AJ10" s="3" t="e">
        <f t="shared" si="1"/>
        <v>#REF!</v>
      </c>
    </row>
    <row r="11" spans="1:36" s="7" customFormat="1" ht="23.25" customHeight="1">
      <c r="A11" s="999"/>
      <c r="B11" s="4">
        <v>7</v>
      </c>
      <c r="C11" s="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B11" s="3">
        <v>1</v>
      </c>
      <c r="AC11" s="3">
        <v>1</v>
      </c>
      <c r="AD11" s="3">
        <v>1</v>
      </c>
      <c r="AE11" s="3" t="e">
        <f t="shared" si="0"/>
        <v>#REF!</v>
      </c>
      <c r="AG11" s="3">
        <v>1</v>
      </c>
      <c r="AH11" s="3">
        <v>1</v>
      </c>
      <c r="AI11" s="3">
        <v>1</v>
      </c>
      <c r="AJ11" s="3" t="e">
        <f t="shared" si="1"/>
        <v>#REF!</v>
      </c>
    </row>
    <row r="12" spans="1:36" s="7" customFormat="1" ht="23.25" customHeight="1" outlineLevel="1">
      <c r="A12" s="999"/>
      <c r="B12" s="4">
        <v>8</v>
      </c>
      <c r="C12" s="40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B12" s="3">
        <v>1</v>
      </c>
      <c r="AC12" s="3">
        <v>1</v>
      </c>
      <c r="AD12" s="3">
        <v>1</v>
      </c>
      <c r="AE12" s="3" t="e">
        <f t="shared" ref="AE12:AE18" si="2">INDEX(AB12:AD12,Escenario1)</f>
        <v>#REF!</v>
      </c>
      <c r="AG12" s="3">
        <v>1</v>
      </c>
      <c r="AH12" s="3">
        <v>1</v>
      </c>
      <c r="AI12" s="3">
        <v>1</v>
      </c>
      <c r="AJ12" s="3" t="e">
        <f t="shared" si="1"/>
        <v>#REF!</v>
      </c>
    </row>
    <row r="13" spans="1:36" s="7" customFormat="1" ht="23.25" customHeight="1" outlineLevel="1">
      <c r="A13" s="999"/>
      <c r="B13" s="4">
        <v>9</v>
      </c>
      <c r="C13" s="40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B13" s="3">
        <v>1</v>
      </c>
      <c r="AC13" s="3">
        <v>1</v>
      </c>
      <c r="AD13" s="3">
        <v>1</v>
      </c>
      <c r="AE13" s="3" t="e">
        <f t="shared" si="2"/>
        <v>#REF!</v>
      </c>
      <c r="AG13" s="3">
        <v>1</v>
      </c>
      <c r="AH13" s="3">
        <v>1</v>
      </c>
      <c r="AI13" s="3">
        <v>1</v>
      </c>
      <c r="AJ13" s="3" t="e">
        <f t="shared" si="1"/>
        <v>#REF!</v>
      </c>
    </row>
    <row r="14" spans="1:36" s="7" customFormat="1" ht="23.25" customHeight="1" outlineLevel="1">
      <c r="A14" s="999"/>
      <c r="B14" s="4">
        <v>10</v>
      </c>
      <c r="C14" s="40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B14" s="3">
        <v>1</v>
      </c>
      <c r="AC14" s="3">
        <v>1</v>
      </c>
      <c r="AD14" s="3">
        <v>1</v>
      </c>
      <c r="AE14" s="3" t="e">
        <f t="shared" si="2"/>
        <v>#REF!</v>
      </c>
      <c r="AG14" s="3">
        <v>1</v>
      </c>
      <c r="AH14" s="3">
        <v>1</v>
      </c>
      <c r="AI14" s="3">
        <v>1</v>
      </c>
      <c r="AJ14" s="3" t="e">
        <f t="shared" si="1"/>
        <v>#REF!</v>
      </c>
    </row>
    <row r="15" spans="1:36" s="7" customFormat="1" ht="23.25" customHeight="1" outlineLevel="1">
      <c r="A15" s="1000"/>
      <c r="B15" s="4">
        <v>11</v>
      </c>
      <c r="C15" s="40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B15" s="3">
        <v>1</v>
      </c>
      <c r="AC15" s="3">
        <v>1</v>
      </c>
      <c r="AD15" s="3">
        <v>1</v>
      </c>
      <c r="AE15" s="3" t="e">
        <f t="shared" si="2"/>
        <v>#REF!</v>
      </c>
      <c r="AG15" s="3">
        <v>1</v>
      </c>
      <c r="AH15" s="3">
        <v>1</v>
      </c>
      <c r="AI15" s="3">
        <v>1</v>
      </c>
      <c r="AJ15" s="3" t="e">
        <f t="shared" si="1"/>
        <v>#REF!</v>
      </c>
    </row>
    <row r="16" spans="1:36" s="7" customFormat="1" ht="23.25" customHeight="1">
      <c r="A16" s="989"/>
      <c r="B16" s="2">
        <v>12</v>
      </c>
      <c r="C16" s="40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B16" s="3">
        <v>1</v>
      </c>
      <c r="AC16" s="3">
        <v>1</v>
      </c>
      <c r="AD16" s="3">
        <v>1</v>
      </c>
      <c r="AE16" s="3" t="e">
        <f t="shared" si="2"/>
        <v>#REF!</v>
      </c>
      <c r="AG16" s="3">
        <v>1</v>
      </c>
      <c r="AH16" s="3">
        <v>1</v>
      </c>
      <c r="AI16" s="3">
        <v>1</v>
      </c>
      <c r="AJ16" s="3" t="e">
        <f t="shared" si="1"/>
        <v>#REF!</v>
      </c>
    </row>
    <row r="17" spans="1:36" s="7" customFormat="1" ht="23.25" customHeight="1">
      <c r="A17" s="990"/>
      <c r="B17" s="2">
        <v>13</v>
      </c>
      <c r="C17" s="40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B17" s="3">
        <v>1</v>
      </c>
      <c r="AC17" s="3">
        <v>1</v>
      </c>
      <c r="AD17" s="3">
        <v>1</v>
      </c>
      <c r="AE17" s="3" t="e">
        <f t="shared" si="2"/>
        <v>#REF!</v>
      </c>
      <c r="AG17" s="3">
        <v>1</v>
      </c>
      <c r="AH17" s="3">
        <v>1</v>
      </c>
      <c r="AI17" s="3">
        <v>1</v>
      </c>
      <c r="AJ17" s="3" t="e">
        <f t="shared" si="1"/>
        <v>#REF!</v>
      </c>
    </row>
    <row r="18" spans="1:36" s="7" customFormat="1" ht="23.25" customHeight="1">
      <c r="A18" s="991"/>
      <c r="B18" s="2">
        <v>14</v>
      </c>
      <c r="C18" s="4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B18" s="3">
        <v>1</v>
      </c>
      <c r="AC18" s="3">
        <v>1</v>
      </c>
      <c r="AD18" s="3">
        <v>1</v>
      </c>
      <c r="AE18" s="3" t="e">
        <f t="shared" si="2"/>
        <v>#REF!</v>
      </c>
      <c r="AG18" s="3">
        <v>1</v>
      </c>
      <c r="AH18" s="3">
        <v>1</v>
      </c>
      <c r="AI18" s="3">
        <v>1</v>
      </c>
      <c r="AJ18" s="3" t="e">
        <f t="shared" si="1"/>
        <v>#REF!</v>
      </c>
    </row>
    <row r="23" spans="1:36" ht="13.9" thickBot="1">
      <c r="A23" s="760"/>
      <c r="B23" s="760" t="s">
        <v>313</v>
      </c>
      <c r="C23" s="760" t="s">
        <v>714</v>
      </c>
      <c r="D23" s="760" t="s">
        <v>715</v>
      </c>
      <c r="E23" s="760"/>
      <c r="F23" s="760"/>
      <c r="G23" s="760"/>
      <c r="H23" s="760"/>
      <c r="I23" s="760"/>
      <c r="J23" s="760"/>
      <c r="K23" s="760"/>
      <c r="L23" s="760"/>
      <c r="M23" s="760"/>
      <c r="N23" s="760"/>
      <c r="O23" s="760"/>
      <c r="P23" s="760"/>
      <c r="Q23" s="760"/>
      <c r="R23" s="760"/>
      <c r="S23" s="760"/>
      <c r="T23" s="760"/>
      <c r="U23" s="760"/>
      <c r="V23" s="760"/>
      <c r="W23" s="760"/>
      <c r="X23" s="760"/>
      <c r="Y23" s="760"/>
      <c r="Z23" s="760"/>
      <c r="AA23" s="760"/>
      <c r="AB23" s="760"/>
      <c r="AD23" s="760"/>
      <c r="AE23" s="760"/>
      <c r="AF23" s="760"/>
      <c r="AG23" s="760"/>
      <c r="AH23" s="760"/>
      <c r="AI23" s="760"/>
      <c r="AJ23" s="760"/>
    </row>
    <row r="24" spans="1:36" ht="40.15" thickBot="1">
      <c r="A24" s="760"/>
      <c r="B24" s="1178" t="s">
        <v>716</v>
      </c>
      <c r="C24" s="68" t="s">
        <v>717</v>
      </c>
      <c r="D24" s="760" t="s">
        <v>688</v>
      </c>
      <c r="E24" s="760"/>
      <c r="F24" s="760"/>
      <c r="G24" s="760"/>
      <c r="H24" s="760"/>
      <c r="I24" s="760"/>
      <c r="J24" s="760"/>
      <c r="K24" s="760"/>
      <c r="L24" s="760"/>
      <c r="M24" s="760"/>
      <c r="N24" s="760"/>
      <c r="O24" s="760"/>
      <c r="P24" s="760"/>
      <c r="Q24" s="760"/>
      <c r="R24" s="760"/>
      <c r="S24" s="760"/>
      <c r="T24" s="760"/>
      <c r="U24" s="760"/>
      <c r="V24" s="760"/>
      <c r="W24" s="760"/>
      <c r="X24" s="760"/>
      <c r="Y24" s="760"/>
      <c r="Z24" s="760"/>
      <c r="AA24" s="760"/>
      <c r="AB24" s="760"/>
      <c r="AD24" s="760"/>
      <c r="AE24" s="760"/>
      <c r="AF24" s="760"/>
      <c r="AG24" s="760"/>
      <c r="AH24" s="760"/>
      <c r="AI24" s="760"/>
      <c r="AJ24" s="760"/>
    </row>
    <row r="25" spans="1:36" ht="13.9" thickBot="1">
      <c r="A25" s="760"/>
      <c r="B25" s="1179" t="s">
        <v>718</v>
      </c>
      <c r="C25" s="69" t="s">
        <v>719</v>
      </c>
      <c r="D25" s="760" t="s">
        <v>689</v>
      </c>
      <c r="E25" s="760"/>
      <c r="F25" s="760"/>
      <c r="G25" s="760"/>
      <c r="H25" s="760"/>
      <c r="I25" s="760"/>
      <c r="J25" s="760"/>
      <c r="K25" s="760"/>
      <c r="L25" s="760"/>
      <c r="M25" s="760"/>
      <c r="N25" s="760"/>
      <c r="O25" s="760"/>
      <c r="P25" s="760"/>
      <c r="Q25" s="760"/>
      <c r="R25" s="760"/>
      <c r="S25" s="760"/>
      <c r="T25" s="760"/>
      <c r="U25" s="760"/>
      <c r="V25" s="760"/>
      <c r="W25" s="760"/>
      <c r="X25" s="760"/>
      <c r="Y25" s="760"/>
      <c r="Z25" s="760"/>
      <c r="AA25" s="760"/>
      <c r="AB25" s="760"/>
      <c r="AD25" s="760"/>
      <c r="AE25" s="760"/>
      <c r="AF25" s="760"/>
      <c r="AG25" s="760"/>
      <c r="AH25" s="760"/>
      <c r="AI25" s="760"/>
      <c r="AJ25" s="760"/>
    </row>
    <row r="26" spans="1:36" ht="27" thickBot="1">
      <c r="A26" s="760"/>
      <c r="B26" s="1179" t="s">
        <v>720</v>
      </c>
      <c r="C26" s="69" t="s">
        <v>721</v>
      </c>
      <c r="D26" s="760" t="s">
        <v>690</v>
      </c>
      <c r="E26" s="760"/>
      <c r="F26" s="760"/>
      <c r="G26" s="760"/>
      <c r="H26" s="760"/>
      <c r="I26" s="760"/>
      <c r="J26" s="760"/>
      <c r="K26" s="760"/>
      <c r="L26" s="760"/>
      <c r="M26" s="760"/>
      <c r="N26" s="760"/>
      <c r="O26" s="760"/>
      <c r="P26" s="760"/>
      <c r="Q26" s="760"/>
      <c r="R26" s="760"/>
      <c r="S26" s="760"/>
      <c r="T26" s="760"/>
      <c r="U26" s="760"/>
      <c r="V26" s="760"/>
      <c r="W26" s="760"/>
      <c r="X26" s="760"/>
      <c r="Y26" s="760"/>
      <c r="Z26" s="760"/>
      <c r="AA26" s="760"/>
      <c r="AB26" s="760"/>
      <c r="AD26" s="760"/>
      <c r="AE26" s="760"/>
      <c r="AF26" s="760"/>
      <c r="AG26" s="760"/>
      <c r="AH26" s="760"/>
      <c r="AI26" s="760"/>
      <c r="AJ26" s="760"/>
    </row>
    <row r="27" spans="1:36" ht="53.45" thickBot="1">
      <c r="A27" s="760"/>
      <c r="B27" s="1180" t="s">
        <v>722</v>
      </c>
      <c r="C27" s="69" t="s">
        <v>723</v>
      </c>
      <c r="D27" s="760" t="s">
        <v>691</v>
      </c>
      <c r="E27" s="760"/>
      <c r="F27" s="760"/>
      <c r="G27" s="760"/>
      <c r="H27" s="760"/>
      <c r="I27" s="760"/>
      <c r="J27" s="760"/>
      <c r="K27" s="760"/>
      <c r="L27" s="760"/>
      <c r="M27" s="760"/>
      <c r="N27" s="760"/>
      <c r="O27" s="760"/>
      <c r="P27" s="760"/>
      <c r="Q27" s="760"/>
      <c r="R27" s="760"/>
      <c r="S27" s="760"/>
      <c r="T27" s="760"/>
      <c r="U27" s="760"/>
      <c r="V27" s="760"/>
      <c r="W27" s="760"/>
      <c r="X27" s="760"/>
      <c r="Y27" s="760"/>
      <c r="Z27" s="760"/>
      <c r="AA27" s="760"/>
      <c r="AB27" s="760"/>
      <c r="AD27" s="760"/>
      <c r="AE27" s="760"/>
      <c r="AF27" s="760"/>
      <c r="AG27" s="760"/>
      <c r="AH27" s="760"/>
      <c r="AI27" s="760"/>
      <c r="AJ27" s="760"/>
    </row>
    <row r="28" spans="1:36" ht="40.15" thickBot="1">
      <c r="A28" s="760"/>
      <c r="B28" s="1180" t="s">
        <v>724</v>
      </c>
      <c r="C28" s="69" t="s">
        <v>725</v>
      </c>
      <c r="D28" s="760" t="s">
        <v>692</v>
      </c>
      <c r="E28" s="760"/>
      <c r="F28" s="760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0"/>
      <c r="R28" s="760"/>
      <c r="S28" s="760"/>
      <c r="T28" s="760"/>
      <c r="U28" s="760"/>
      <c r="V28" s="760"/>
      <c r="W28" s="760"/>
      <c r="X28" s="760"/>
      <c r="Y28" s="760"/>
      <c r="Z28" s="760"/>
      <c r="AA28" s="760"/>
      <c r="AB28" s="760"/>
      <c r="AD28" s="760"/>
      <c r="AE28" s="760"/>
      <c r="AF28" s="760"/>
      <c r="AG28" s="760"/>
      <c r="AH28" s="760"/>
      <c r="AI28" s="760"/>
      <c r="AJ28" s="760"/>
    </row>
    <row r="29" spans="1:36" ht="40.15" thickBot="1">
      <c r="A29" s="760"/>
      <c r="B29" s="1180" t="s">
        <v>726</v>
      </c>
      <c r="C29" s="69" t="s">
        <v>727</v>
      </c>
      <c r="D29" s="760" t="s">
        <v>693</v>
      </c>
      <c r="E29" s="760"/>
      <c r="F29" s="760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0"/>
      <c r="R29" s="760"/>
      <c r="S29" s="760"/>
      <c r="T29" s="760"/>
      <c r="U29" s="760"/>
      <c r="V29" s="760"/>
      <c r="W29" s="760"/>
      <c r="X29" s="760"/>
      <c r="Y29" s="760"/>
      <c r="Z29" s="760"/>
      <c r="AA29" s="760"/>
      <c r="AB29" s="760"/>
      <c r="AD29" s="760"/>
      <c r="AE29" s="760"/>
      <c r="AF29" s="760"/>
      <c r="AG29" s="760"/>
      <c r="AH29" s="760"/>
      <c r="AI29" s="760"/>
      <c r="AJ29" s="760"/>
    </row>
    <row r="30" spans="1:36" ht="40.15" thickBot="1">
      <c r="A30" s="760"/>
      <c r="B30" s="1180" t="s">
        <v>728</v>
      </c>
      <c r="C30" s="69" t="s">
        <v>729</v>
      </c>
      <c r="D30" s="760" t="s">
        <v>694</v>
      </c>
      <c r="E30" s="760"/>
      <c r="F30" s="760"/>
      <c r="G30" s="760"/>
      <c r="H30" s="760"/>
      <c r="I30" s="760"/>
      <c r="J30" s="760"/>
      <c r="K30" s="760"/>
      <c r="L30" s="760"/>
      <c r="M30" s="760"/>
      <c r="N30" s="760"/>
      <c r="O30" s="760"/>
      <c r="P30" s="760"/>
      <c r="Q30" s="760"/>
      <c r="R30" s="760"/>
      <c r="S30" s="760"/>
      <c r="T30" s="760"/>
      <c r="U30" s="760"/>
      <c r="V30" s="760"/>
      <c r="W30" s="760"/>
      <c r="X30" s="760"/>
      <c r="Y30" s="760"/>
      <c r="Z30" s="760"/>
      <c r="AA30" s="760"/>
      <c r="AB30" s="760"/>
      <c r="AD30" s="760"/>
      <c r="AE30" s="760"/>
      <c r="AF30" s="760"/>
      <c r="AG30" s="760"/>
      <c r="AH30" s="760"/>
      <c r="AI30" s="760"/>
      <c r="AJ30" s="760"/>
    </row>
    <row r="31" spans="1:36" ht="27" thickBot="1">
      <c r="A31" s="760"/>
      <c r="B31" s="1180" t="s">
        <v>730</v>
      </c>
      <c r="C31" s="69" t="s">
        <v>731</v>
      </c>
      <c r="D31" s="760" t="s">
        <v>695</v>
      </c>
      <c r="E31" s="760"/>
      <c r="F31" s="760"/>
      <c r="G31" s="760"/>
      <c r="H31" s="760"/>
      <c r="I31" s="760"/>
      <c r="J31" s="760"/>
      <c r="K31" s="760"/>
      <c r="L31" s="760"/>
      <c r="M31" s="760"/>
      <c r="N31" s="760"/>
      <c r="O31" s="760"/>
      <c r="P31" s="760"/>
      <c r="Q31" s="760"/>
      <c r="R31" s="760"/>
      <c r="S31" s="760"/>
      <c r="T31" s="760"/>
      <c r="U31" s="760"/>
      <c r="V31" s="760"/>
      <c r="W31" s="760"/>
      <c r="X31" s="760"/>
      <c r="Y31" s="760"/>
      <c r="Z31" s="760"/>
      <c r="AA31" s="760"/>
      <c r="AB31" s="760"/>
      <c r="AD31" s="760"/>
      <c r="AE31" s="760"/>
      <c r="AF31" s="760"/>
      <c r="AG31" s="760"/>
      <c r="AH31" s="760"/>
      <c r="AI31" s="760"/>
      <c r="AJ31" s="760"/>
    </row>
    <row r="32" spans="1:36" ht="13.9" thickBot="1">
      <c r="A32" s="760"/>
      <c r="B32" s="1180" t="s">
        <v>732</v>
      </c>
      <c r="C32" s="69" t="s">
        <v>733</v>
      </c>
      <c r="D32" s="760" t="s">
        <v>696</v>
      </c>
      <c r="E32" s="760"/>
      <c r="F32" s="760"/>
      <c r="G32" s="760"/>
      <c r="H32" s="760"/>
      <c r="I32" s="760"/>
      <c r="J32" s="760"/>
      <c r="K32" s="760"/>
      <c r="L32" s="760"/>
      <c r="M32" s="760"/>
      <c r="N32" s="760"/>
      <c r="O32" s="760"/>
      <c r="P32" s="760"/>
      <c r="Q32" s="760"/>
      <c r="R32" s="760"/>
      <c r="S32" s="760"/>
      <c r="T32" s="760"/>
      <c r="U32" s="760"/>
      <c r="V32" s="760"/>
      <c r="W32" s="760"/>
      <c r="X32" s="760"/>
      <c r="Y32" s="760"/>
      <c r="Z32" s="760"/>
      <c r="AA32" s="760"/>
      <c r="AB32" s="760"/>
      <c r="AD32" s="760"/>
      <c r="AE32" s="760"/>
      <c r="AF32" s="760"/>
      <c r="AG32" s="760"/>
      <c r="AH32" s="760"/>
      <c r="AI32" s="760"/>
      <c r="AJ32" s="760"/>
    </row>
    <row r="33" spans="2:4" ht="53.45" thickBot="1">
      <c r="B33" s="1180" t="s">
        <v>734</v>
      </c>
      <c r="C33" s="69" t="s">
        <v>735</v>
      </c>
      <c r="D33" s="760" t="s">
        <v>697</v>
      </c>
    </row>
    <row r="34" spans="2:4" ht="53.45" thickBot="1">
      <c r="B34" s="1180" t="s">
        <v>736</v>
      </c>
      <c r="C34" s="70" t="s">
        <v>737</v>
      </c>
      <c r="D34" s="760" t="s">
        <v>698</v>
      </c>
    </row>
    <row r="51" spans="3:3">
      <c r="C51" s="38"/>
    </row>
    <row r="57" spans="3:3">
      <c r="C57" s="38"/>
    </row>
    <row r="64" spans="3:3">
      <c r="C64" s="38"/>
    </row>
    <row r="71" spans="3:3">
      <c r="C71" s="39"/>
    </row>
    <row r="79" spans="3:3">
      <c r="C79" s="38"/>
    </row>
    <row r="111" spans="2:3">
      <c r="B111" s="760">
        <v>22</v>
      </c>
      <c r="C111" s="760" t="s">
        <v>738</v>
      </c>
    </row>
    <row r="112" spans="2:3">
      <c r="B112" s="760">
        <v>23</v>
      </c>
      <c r="C112" s="760" t="s">
        <v>739</v>
      </c>
    </row>
  </sheetData>
  <mergeCells count="8">
    <mergeCell ref="A16:A18"/>
    <mergeCell ref="B3:B4"/>
    <mergeCell ref="C3:C4"/>
    <mergeCell ref="AB3:AE3"/>
    <mergeCell ref="AG3:AJ3"/>
    <mergeCell ref="D3:Z3"/>
    <mergeCell ref="A3:A4"/>
    <mergeCell ref="A5:A15"/>
  </mergeCells>
  <phoneticPr fontId="2" type="noConversion"/>
  <pageMargins left="0.75" right="0.75" top="1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10"/>
  <sheetViews>
    <sheetView workbookViewId="0">
      <selection activeCell="A20" sqref="A20"/>
    </sheetView>
  </sheetViews>
  <sheetFormatPr defaultRowHeight="13.15"/>
  <cols>
    <col min="1" max="1" width="32.28515625" customWidth="1"/>
    <col min="2" max="2" width="9.5703125" bestFit="1" customWidth="1"/>
    <col min="3" max="3" width="8.7109375" bestFit="1" customWidth="1"/>
    <col min="4" max="4" width="9.5703125" bestFit="1" customWidth="1"/>
    <col min="5" max="5" width="10.7109375" bestFit="1" customWidth="1"/>
  </cols>
  <sheetData>
    <row r="4" spans="1:5" ht="14.45">
      <c r="A4" s="836" t="s">
        <v>150</v>
      </c>
      <c r="B4" s="836"/>
      <c r="C4" s="836"/>
      <c r="D4" s="836"/>
      <c r="E4" s="836"/>
    </row>
    <row r="5" spans="1:5">
      <c r="A5" s="540" t="s">
        <v>151</v>
      </c>
      <c r="B5" s="541" t="s">
        <v>152</v>
      </c>
      <c r="C5" s="541" t="s">
        <v>153</v>
      </c>
      <c r="D5" s="541" t="s">
        <v>18</v>
      </c>
      <c r="E5" s="541" t="s">
        <v>107</v>
      </c>
    </row>
    <row r="6" spans="1:5">
      <c r="A6" s="542" t="s">
        <v>154</v>
      </c>
      <c r="B6" s="543">
        <f>B7+B8</f>
        <v>26600000</v>
      </c>
      <c r="C6" s="543">
        <f>C7+C8</f>
        <v>3617919</v>
      </c>
      <c r="D6" s="543">
        <f>D7+D8</f>
        <v>30217919</v>
      </c>
      <c r="E6" s="544">
        <f>D6/$D$10</f>
        <v>0.90880959398496242</v>
      </c>
    </row>
    <row r="7" spans="1:5" ht="34.15">
      <c r="A7" s="545" t="s">
        <v>25</v>
      </c>
      <c r="B7" s="546">
        <v>25486455</v>
      </c>
      <c r="C7" s="546">
        <v>3339533</v>
      </c>
      <c r="D7" s="546">
        <f>B7+C7</f>
        <v>28825988</v>
      </c>
      <c r="E7" s="544">
        <f t="shared" ref="E7:E9" si="0">D7/$D$10</f>
        <v>0.86694700751879694</v>
      </c>
    </row>
    <row r="8" spans="1:5" ht="34.15">
      <c r="A8" s="545" t="s">
        <v>155</v>
      </c>
      <c r="B8" s="546">
        <v>1113545</v>
      </c>
      <c r="C8" s="546">
        <v>278386</v>
      </c>
      <c r="D8" s="546">
        <f>B8+C8</f>
        <v>1391931</v>
      </c>
      <c r="E8" s="544">
        <f t="shared" si="0"/>
        <v>4.1862586466165412E-2</v>
      </c>
    </row>
    <row r="9" spans="1:5">
      <c r="A9" s="542" t="s">
        <v>156</v>
      </c>
      <c r="B9" s="543">
        <v>0</v>
      </c>
      <c r="C9" s="547">
        <v>3032081</v>
      </c>
      <c r="D9" s="543">
        <f>B9+C9</f>
        <v>3032081</v>
      </c>
      <c r="E9" s="544">
        <f t="shared" si="0"/>
        <v>9.1190406015037598E-2</v>
      </c>
    </row>
    <row r="10" spans="1:5">
      <c r="A10" s="548" t="s">
        <v>18</v>
      </c>
      <c r="B10" s="549">
        <f>B6+B9</f>
        <v>26600000</v>
      </c>
      <c r="C10" s="549">
        <f>C6+C9</f>
        <v>6650000</v>
      </c>
      <c r="D10" s="549">
        <f>B10+C10</f>
        <v>33250000</v>
      </c>
      <c r="E10" s="544">
        <v>1</v>
      </c>
    </row>
  </sheetData>
  <mergeCells count="1">
    <mergeCell ref="A4:E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38">
    <pageSetUpPr fitToPage="1"/>
  </sheetPr>
  <dimension ref="A1:H113"/>
  <sheetViews>
    <sheetView view="pageLayout" topLeftCell="A49" zoomScaleNormal="100" workbookViewId="0">
      <selection activeCell="C78" sqref="C78"/>
    </sheetView>
  </sheetViews>
  <sheetFormatPr defaultColWidth="10.7109375" defaultRowHeight="13.15"/>
  <cols>
    <col min="1" max="1" width="7.42578125" customWidth="1"/>
    <col min="2" max="2" width="47" customWidth="1"/>
    <col min="3" max="3" width="16" style="9" customWidth="1"/>
    <col min="4" max="4" width="13.28515625" customWidth="1"/>
    <col min="5" max="5" width="9.28515625" customWidth="1"/>
    <col min="6" max="6" width="15" customWidth="1"/>
    <col min="7" max="7" width="15.7109375" customWidth="1"/>
    <col min="8" max="8" width="5.140625" customWidth="1"/>
  </cols>
  <sheetData>
    <row r="1" spans="1:7">
      <c r="A1" s="23"/>
      <c r="B1" s="1067" t="s">
        <v>740</v>
      </c>
      <c r="C1" s="52"/>
      <c r="D1" s="23"/>
      <c r="E1" s="23"/>
      <c r="F1" s="23"/>
      <c r="G1" s="23"/>
    </row>
    <row r="2" spans="1:7">
      <c r="A2" s="23"/>
      <c r="B2" s="1067"/>
      <c r="C2" s="52"/>
      <c r="D2" s="23"/>
      <c r="E2" s="23"/>
      <c r="F2" s="23"/>
      <c r="G2" s="23"/>
    </row>
    <row r="3" spans="1:7">
      <c r="A3" s="1067" t="s">
        <v>741</v>
      </c>
      <c r="B3" s="1067" t="s">
        <v>742</v>
      </c>
      <c r="C3" s="52"/>
      <c r="D3" s="23"/>
      <c r="E3" s="1181" t="s">
        <v>18</v>
      </c>
      <c r="F3" s="81">
        <f>SUM(F6:F27)</f>
        <v>12745314</v>
      </c>
      <c r="G3" s="81" t="e">
        <f>SUM(G6:G27)</f>
        <v>#REF!</v>
      </c>
    </row>
    <row r="4" spans="1:7">
      <c r="A4" s="23"/>
      <c r="B4" s="23"/>
      <c r="C4" s="52"/>
      <c r="D4" s="23"/>
      <c r="E4" s="23"/>
      <c r="F4" s="23"/>
      <c r="G4" s="23"/>
    </row>
    <row r="5" spans="1:7" ht="26.45">
      <c r="A5" s="1182" t="s">
        <v>487</v>
      </c>
      <c r="B5" s="1182" t="s">
        <v>14</v>
      </c>
      <c r="C5" s="1182" t="s">
        <v>315</v>
      </c>
      <c r="D5" s="1182" t="s">
        <v>743</v>
      </c>
      <c r="E5" s="1182" t="s">
        <v>744</v>
      </c>
      <c r="F5" s="1182" t="s">
        <v>745</v>
      </c>
      <c r="G5" s="1182" t="s">
        <v>746</v>
      </c>
    </row>
    <row r="6" spans="1:7">
      <c r="A6" s="65"/>
      <c r="B6" s="64"/>
      <c r="C6" s="65"/>
      <c r="D6" s="64"/>
      <c r="E6" s="64"/>
      <c r="F6" s="281"/>
      <c r="G6" s="64"/>
    </row>
    <row r="7" spans="1:7">
      <c r="A7" s="287">
        <v>1</v>
      </c>
      <c r="B7" s="58" t="s">
        <v>747</v>
      </c>
      <c r="C7" s="59" t="s">
        <v>748</v>
      </c>
      <c r="D7" s="283">
        <v>243000</v>
      </c>
      <c r="E7" s="263">
        <v>5</v>
      </c>
      <c r="F7" s="279">
        <f>D7*E7</f>
        <v>1215000</v>
      </c>
      <c r="G7" s="280" t="e">
        <f>F7*TC</f>
        <v>#REF!</v>
      </c>
    </row>
    <row r="8" spans="1:7">
      <c r="A8" s="287"/>
      <c r="B8" s="58"/>
      <c r="C8" s="59"/>
      <c r="D8" s="283"/>
      <c r="E8" s="263"/>
      <c r="F8" s="279"/>
      <c r="G8" s="280"/>
    </row>
    <row r="9" spans="1:7" ht="26.45">
      <c r="A9" s="287">
        <v>2</v>
      </c>
      <c r="B9" s="58" t="s">
        <v>749</v>
      </c>
      <c r="C9" s="59" t="s">
        <v>750</v>
      </c>
      <c r="D9" s="283">
        <v>1000000</v>
      </c>
      <c r="E9" s="263">
        <v>1</v>
      </c>
      <c r="F9" s="279">
        <f>D9*E9</f>
        <v>1000000</v>
      </c>
      <c r="G9" s="280" t="e">
        <f>F9*TC</f>
        <v>#REF!</v>
      </c>
    </row>
    <row r="10" spans="1:7">
      <c r="A10" s="287"/>
      <c r="B10" s="58"/>
      <c r="C10" s="59"/>
      <c r="D10" s="283"/>
      <c r="E10" s="263"/>
      <c r="F10" s="279"/>
      <c r="G10" s="280"/>
    </row>
    <row r="11" spans="1:7" ht="26.45">
      <c r="A11" s="287">
        <v>3</v>
      </c>
      <c r="B11" s="58" t="s">
        <v>751</v>
      </c>
      <c r="C11" s="59" t="s">
        <v>752</v>
      </c>
      <c r="D11" s="283">
        <v>7000000</v>
      </c>
      <c r="E11" s="263">
        <v>1</v>
      </c>
      <c r="F11" s="279">
        <f>D11*E11</f>
        <v>7000000</v>
      </c>
      <c r="G11" s="280" t="e">
        <f>F11*TC</f>
        <v>#REF!</v>
      </c>
    </row>
    <row r="12" spans="1:7">
      <c r="A12" s="287"/>
      <c r="B12" s="58"/>
      <c r="C12" s="59"/>
      <c r="D12" s="283"/>
      <c r="E12" s="263"/>
      <c r="F12" s="279"/>
      <c r="G12" s="280"/>
    </row>
    <row r="13" spans="1:7" ht="26.45">
      <c r="A13" s="287">
        <v>4</v>
      </c>
      <c r="B13" s="58" t="s">
        <v>753</v>
      </c>
      <c r="C13" s="59" t="s">
        <v>354</v>
      </c>
      <c r="D13" s="283">
        <v>250000</v>
      </c>
      <c r="E13" s="263">
        <v>1</v>
      </c>
      <c r="F13" s="279">
        <f>D13*E13</f>
        <v>250000</v>
      </c>
      <c r="G13" s="280" t="e">
        <f>F13*TC</f>
        <v>#REF!</v>
      </c>
    </row>
    <row r="14" spans="1:7">
      <c r="A14" s="287"/>
      <c r="B14" s="58"/>
      <c r="C14" s="59"/>
      <c r="D14" s="283"/>
      <c r="E14" s="263"/>
      <c r="F14" s="279"/>
      <c r="G14" s="280"/>
    </row>
    <row r="15" spans="1:7">
      <c r="A15" s="287">
        <v>5</v>
      </c>
      <c r="B15" s="58" t="s">
        <v>754</v>
      </c>
      <c r="C15" s="59" t="s">
        <v>354</v>
      </c>
      <c r="D15" s="283">
        <v>350000</v>
      </c>
      <c r="E15" s="263">
        <v>2</v>
      </c>
      <c r="F15" s="279">
        <f>D15*E15</f>
        <v>700000</v>
      </c>
      <c r="G15" s="280" t="e">
        <f>F15*TC</f>
        <v>#REF!</v>
      </c>
    </row>
    <row r="16" spans="1:7">
      <c r="A16" s="287"/>
      <c r="B16" s="58"/>
      <c r="C16" s="59"/>
      <c r="D16" s="283"/>
      <c r="E16" s="263"/>
      <c r="F16" s="279"/>
      <c r="G16" s="280"/>
    </row>
    <row r="17" spans="1:7">
      <c r="A17" s="287">
        <v>6</v>
      </c>
      <c r="B17" s="58" t="s">
        <v>755</v>
      </c>
      <c r="C17" s="59" t="s">
        <v>363</v>
      </c>
      <c r="D17" s="283">
        <v>70000</v>
      </c>
      <c r="E17" s="263">
        <v>5</v>
      </c>
      <c r="F17" s="279">
        <f>D17*E17</f>
        <v>350000</v>
      </c>
      <c r="G17" s="280" t="e">
        <f>F17*TC</f>
        <v>#REF!</v>
      </c>
    </row>
    <row r="18" spans="1:7">
      <c r="A18" s="287"/>
      <c r="B18" s="58"/>
      <c r="C18" s="59"/>
      <c r="D18" s="283"/>
      <c r="E18" s="263"/>
      <c r="F18" s="279"/>
      <c r="G18" s="280"/>
    </row>
    <row r="19" spans="1:7">
      <c r="A19" s="287">
        <v>7</v>
      </c>
      <c r="B19" s="58" t="s">
        <v>756</v>
      </c>
      <c r="C19" s="59" t="s">
        <v>363</v>
      </c>
      <c r="D19" s="342">
        <v>80157</v>
      </c>
      <c r="E19" s="263">
        <v>2</v>
      </c>
      <c r="F19" s="279">
        <f>D19*E19</f>
        <v>160314</v>
      </c>
      <c r="G19" s="280" t="e">
        <f>F19*TC</f>
        <v>#REF!</v>
      </c>
    </row>
    <row r="20" spans="1:7">
      <c r="A20" s="287"/>
      <c r="B20" s="58"/>
      <c r="C20" s="59"/>
      <c r="D20" s="283"/>
      <c r="E20" s="263"/>
      <c r="F20" s="279"/>
      <c r="G20" s="280"/>
    </row>
    <row r="21" spans="1:7">
      <c r="A21" s="287">
        <v>8</v>
      </c>
      <c r="B21" s="58" t="s">
        <v>757</v>
      </c>
      <c r="C21" s="59" t="s">
        <v>363</v>
      </c>
      <c r="D21" s="342">
        <v>290000</v>
      </c>
      <c r="E21" s="263">
        <v>3</v>
      </c>
      <c r="F21" s="279">
        <f>D21*E21</f>
        <v>870000</v>
      </c>
      <c r="G21" s="280" t="e">
        <f>F21*TC</f>
        <v>#REF!</v>
      </c>
    </row>
    <row r="22" spans="1:7">
      <c r="A22" s="287"/>
      <c r="B22" s="58"/>
      <c r="C22" s="59"/>
      <c r="D22" s="283"/>
      <c r="E22" s="263"/>
      <c r="F22" s="279"/>
      <c r="G22" s="280"/>
    </row>
    <row r="23" spans="1:7">
      <c r="A23" s="287">
        <v>9</v>
      </c>
      <c r="B23" s="58" t="s">
        <v>758</v>
      </c>
      <c r="C23" s="59" t="s">
        <v>354</v>
      </c>
      <c r="D23" s="283">
        <v>1000000</v>
      </c>
      <c r="E23" s="263">
        <v>1</v>
      </c>
      <c r="F23" s="279">
        <f>D23*E23</f>
        <v>1000000</v>
      </c>
      <c r="G23" s="280" t="e">
        <f>F23*TC</f>
        <v>#REF!</v>
      </c>
    </row>
    <row r="24" spans="1:7">
      <c r="A24" s="287"/>
      <c r="B24" s="58"/>
      <c r="C24" s="59"/>
      <c r="D24" s="283"/>
      <c r="E24" s="263"/>
      <c r="F24" s="279"/>
      <c r="G24" s="280"/>
    </row>
    <row r="25" spans="1:7">
      <c r="A25" s="287">
        <v>10</v>
      </c>
      <c r="B25" s="58" t="s">
        <v>759</v>
      </c>
      <c r="C25" s="59" t="s">
        <v>363</v>
      </c>
      <c r="D25" s="283">
        <v>50000</v>
      </c>
      <c r="E25" s="263">
        <v>4</v>
      </c>
      <c r="F25" s="279">
        <f>D25*E25</f>
        <v>200000</v>
      </c>
      <c r="G25" s="280" t="e">
        <f>F25*TC</f>
        <v>#REF!</v>
      </c>
    </row>
    <row r="26" spans="1:7">
      <c r="A26" s="59"/>
      <c r="B26" s="58"/>
      <c r="C26" s="59"/>
      <c r="D26" s="283"/>
      <c r="E26" s="263"/>
      <c r="F26" s="279"/>
      <c r="G26" s="280"/>
    </row>
    <row r="27" spans="1:7">
      <c r="A27" s="55"/>
      <c r="B27" s="1183"/>
      <c r="C27" s="333"/>
      <c r="D27" s="334"/>
      <c r="E27" s="334"/>
      <c r="F27" s="285">
        <f>D27*E27</f>
        <v>0</v>
      </c>
      <c r="G27" s="335" t="e">
        <f>F27*TC</f>
        <v>#REF!</v>
      </c>
    </row>
    <row r="28" spans="1:7">
      <c r="A28" s="23"/>
      <c r="B28" s="1067"/>
      <c r="C28" s="52"/>
      <c r="D28" s="23"/>
      <c r="E28" s="23"/>
      <c r="F28" s="23"/>
      <c r="G28" s="23"/>
    </row>
    <row r="29" spans="1:7">
      <c r="A29" s="1067" t="s">
        <v>760</v>
      </c>
      <c r="B29" s="1067" t="s">
        <v>761</v>
      </c>
      <c r="C29" s="52"/>
      <c r="D29" s="23"/>
      <c r="E29" s="1181" t="s">
        <v>18</v>
      </c>
      <c r="F29" s="81">
        <f>SUM(F32:F38)</f>
        <v>9600000</v>
      </c>
      <c r="G29" s="81" t="e">
        <f>SUM(G32:G53)</f>
        <v>#REF!</v>
      </c>
    </row>
    <row r="30" spans="1:7">
      <c r="A30" s="23"/>
      <c r="B30" s="23"/>
      <c r="C30" s="52"/>
      <c r="D30" s="23"/>
      <c r="E30" s="23"/>
      <c r="F30" s="23"/>
      <c r="G30" s="23"/>
    </row>
    <row r="31" spans="1:7" ht="26.45">
      <c r="A31" s="1182" t="s">
        <v>487</v>
      </c>
      <c r="B31" s="1182" t="s">
        <v>14</v>
      </c>
      <c r="C31" s="1182" t="s">
        <v>315</v>
      </c>
      <c r="D31" s="1182" t="s">
        <v>743</v>
      </c>
      <c r="E31" s="1182" t="s">
        <v>744</v>
      </c>
      <c r="F31" s="1182" t="s">
        <v>745</v>
      </c>
      <c r="G31" s="1182" t="s">
        <v>746</v>
      </c>
    </row>
    <row r="32" spans="1:7">
      <c r="A32" s="65"/>
      <c r="B32" s="64"/>
      <c r="C32" s="65"/>
      <c r="D32" s="64"/>
      <c r="E32" s="64"/>
      <c r="F32" s="281"/>
      <c r="G32" s="64"/>
    </row>
    <row r="33" spans="1:8">
      <c r="A33" s="343">
        <v>9</v>
      </c>
      <c r="B33" s="58" t="s">
        <v>762</v>
      </c>
      <c r="C33" s="59" t="s">
        <v>363</v>
      </c>
      <c r="D33" s="283">
        <v>1300000</v>
      </c>
      <c r="E33" s="263">
        <v>2</v>
      </c>
      <c r="F33" s="279">
        <f>D33*E33</f>
        <v>2600000</v>
      </c>
      <c r="G33" s="280" t="e">
        <f>F33*TC</f>
        <v>#REF!</v>
      </c>
      <c r="H33" s="760"/>
    </row>
    <row r="34" spans="1:8">
      <c r="A34" s="118"/>
      <c r="B34" s="1184"/>
      <c r="C34" s="344"/>
      <c r="D34" s="118"/>
      <c r="E34" s="118"/>
      <c r="F34" s="118"/>
      <c r="G34" s="118"/>
      <c r="H34" s="760"/>
    </row>
    <row r="35" spans="1:8">
      <c r="A35" s="343">
        <v>10</v>
      </c>
      <c r="B35" s="58" t="s">
        <v>763</v>
      </c>
      <c r="C35" s="59" t="s">
        <v>363</v>
      </c>
      <c r="D35" s="283">
        <v>3500000</v>
      </c>
      <c r="E35" s="263">
        <v>2</v>
      </c>
      <c r="F35" s="279">
        <f>D35*E35</f>
        <v>7000000</v>
      </c>
      <c r="G35" s="280" t="e">
        <f>F35*TC</f>
        <v>#REF!</v>
      </c>
      <c r="H35" s="760"/>
    </row>
    <row r="36" spans="1:8">
      <c r="A36" s="118"/>
      <c r="B36" s="1184"/>
      <c r="C36" s="344"/>
      <c r="D36" s="118"/>
      <c r="E36" s="118"/>
      <c r="F36" s="279"/>
      <c r="G36" s="280"/>
      <c r="H36" s="760"/>
    </row>
    <row r="37" spans="1:8">
      <c r="A37" s="118"/>
      <c r="B37" s="1184"/>
      <c r="C37" s="344"/>
      <c r="D37" s="118"/>
      <c r="E37" s="118"/>
      <c r="F37" s="279"/>
      <c r="G37" s="280"/>
      <c r="H37" s="760"/>
    </row>
    <row r="38" spans="1:8">
      <c r="A38" s="334"/>
      <c r="B38" s="1183"/>
      <c r="C38" s="333"/>
      <c r="D38" s="334"/>
      <c r="E38" s="334"/>
      <c r="F38" s="334"/>
      <c r="G38" s="334"/>
      <c r="H38" s="760"/>
    </row>
    <row r="39" spans="1:8">
      <c r="A39" s="23"/>
      <c r="B39" s="23"/>
      <c r="C39" s="52"/>
      <c r="D39" s="23"/>
      <c r="E39" s="23"/>
      <c r="F39" s="23"/>
      <c r="G39" s="23"/>
      <c r="H39" s="760"/>
    </row>
    <row r="40" spans="1:8">
      <c r="A40" s="1067" t="s">
        <v>764</v>
      </c>
      <c r="B40" s="1067" t="s">
        <v>765</v>
      </c>
      <c r="C40" s="52"/>
      <c r="D40" s="23"/>
      <c r="E40" s="1181" t="s">
        <v>18</v>
      </c>
      <c r="F40" s="81">
        <f>SUM(F43:F60)</f>
        <v>2581520</v>
      </c>
      <c r="G40" s="81" t="e">
        <f>SUM(G43:G60)</f>
        <v>#REF!</v>
      </c>
      <c r="H40" s="760"/>
    </row>
    <row r="41" spans="1:8">
      <c r="A41" s="23"/>
      <c r="B41" s="23"/>
      <c r="C41" s="52"/>
      <c r="D41" s="23"/>
      <c r="E41" s="23"/>
      <c r="F41" s="23"/>
      <c r="G41" s="23"/>
      <c r="H41" s="760"/>
    </row>
    <row r="42" spans="1:8" ht="26.45">
      <c r="A42" s="1182" t="s">
        <v>487</v>
      </c>
      <c r="B42" s="1182" t="s">
        <v>14</v>
      </c>
      <c r="C42" s="1182" t="s">
        <v>315</v>
      </c>
      <c r="D42" s="1182" t="s">
        <v>743</v>
      </c>
      <c r="E42" s="1182" t="s">
        <v>744</v>
      </c>
      <c r="F42" s="1182" t="s">
        <v>745</v>
      </c>
      <c r="G42" s="1182" t="s">
        <v>746</v>
      </c>
      <c r="H42" s="760"/>
    </row>
    <row r="43" spans="1:8">
      <c r="A43" s="65"/>
      <c r="B43" s="64"/>
      <c r="C43" s="65"/>
      <c r="D43" s="64"/>
      <c r="E43" s="64"/>
      <c r="F43" s="281"/>
      <c r="G43" s="64"/>
      <c r="H43" s="77"/>
    </row>
    <row r="44" spans="1:8">
      <c r="A44" s="59">
        <v>1</v>
      </c>
      <c r="B44" s="282" t="s">
        <v>766</v>
      </c>
      <c r="C44" s="287"/>
      <c r="D44" s="58"/>
      <c r="E44" s="58"/>
      <c r="F44" s="279"/>
      <c r="G44" s="58"/>
      <c r="H44" s="77"/>
    </row>
    <row r="45" spans="1:8" ht="39.6">
      <c r="A45" s="59"/>
      <c r="B45" s="58" t="s">
        <v>767</v>
      </c>
      <c r="C45" s="59" t="s">
        <v>354</v>
      </c>
      <c r="D45" s="283">
        <v>7548</v>
      </c>
      <c r="E45" s="284">
        <v>40</v>
      </c>
      <c r="F45" s="279">
        <f>D45*E45</f>
        <v>301920</v>
      </c>
      <c r="G45" s="280" t="e">
        <f>F45*TC</f>
        <v>#REF!</v>
      </c>
      <c r="H45" s="77" t="s">
        <v>768</v>
      </c>
    </row>
    <row r="46" spans="1:8">
      <c r="A46" s="59"/>
      <c r="B46" s="58"/>
      <c r="C46" s="59"/>
      <c r="D46" s="279"/>
      <c r="E46" s="58"/>
      <c r="F46" s="279"/>
      <c r="G46" s="280"/>
      <c r="H46" s="77"/>
    </row>
    <row r="47" spans="1:8">
      <c r="A47" s="59">
        <v>2</v>
      </c>
      <c r="B47" s="58" t="s">
        <v>769</v>
      </c>
      <c r="C47" s="59"/>
      <c r="D47" s="58"/>
      <c r="E47" s="58"/>
      <c r="F47" s="279"/>
      <c r="G47" s="58"/>
      <c r="H47" s="77"/>
    </row>
    <row r="48" spans="1:8" ht="39.6">
      <c r="A48" s="59"/>
      <c r="B48" s="58" t="s">
        <v>770</v>
      </c>
      <c r="C48" s="59" t="s">
        <v>354</v>
      </c>
      <c r="D48" s="283">
        <v>18750</v>
      </c>
      <c r="E48" s="284">
        <v>40</v>
      </c>
      <c r="F48" s="279">
        <f>D48*E48</f>
        <v>750000</v>
      </c>
      <c r="G48" s="280" t="e">
        <f>F48*TC</f>
        <v>#REF!</v>
      </c>
      <c r="H48" s="77" t="s">
        <v>768</v>
      </c>
    </row>
    <row r="49" spans="1:8">
      <c r="A49" s="59"/>
      <c r="B49" s="58"/>
      <c r="C49" s="59"/>
      <c r="D49" s="58"/>
      <c r="E49" s="58"/>
      <c r="F49" s="279"/>
      <c r="G49" s="58"/>
      <c r="H49" s="77"/>
    </row>
    <row r="50" spans="1:8">
      <c r="A50" s="59">
        <v>3</v>
      </c>
      <c r="B50" s="58" t="s">
        <v>771</v>
      </c>
      <c r="C50" s="59"/>
      <c r="D50" s="58"/>
      <c r="E50" s="58"/>
      <c r="F50" s="279"/>
      <c r="G50" s="58"/>
      <c r="H50" s="77"/>
    </row>
    <row r="51" spans="1:8" ht="30" customHeight="1">
      <c r="A51" s="59"/>
      <c r="B51" s="58" t="s">
        <v>772</v>
      </c>
      <c r="C51" s="59" t="s">
        <v>354</v>
      </c>
      <c r="D51" s="283">
        <v>10650</v>
      </c>
      <c r="E51" s="284">
        <v>40</v>
      </c>
      <c r="F51" s="279">
        <f>D51*E51</f>
        <v>426000</v>
      </c>
      <c r="G51" s="280" t="e">
        <f>F51*TC</f>
        <v>#REF!</v>
      </c>
      <c r="H51" s="77" t="s">
        <v>768</v>
      </c>
    </row>
    <row r="52" spans="1:8">
      <c r="A52" s="59"/>
      <c r="B52" s="58"/>
      <c r="C52" s="59"/>
      <c r="D52" s="58"/>
      <c r="E52" s="58"/>
      <c r="F52" s="279"/>
      <c r="G52" s="58"/>
      <c r="H52" s="77"/>
    </row>
    <row r="53" spans="1:8" ht="26.45">
      <c r="A53" s="59">
        <v>4</v>
      </c>
      <c r="B53" s="58" t="s">
        <v>773</v>
      </c>
      <c r="C53" s="59" t="s">
        <v>354</v>
      </c>
      <c r="D53" s="283">
        <v>20000</v>
      </c>
      <c r="E53" s="284">
        <v>10</v>
      </c>
      <c r="F53" s="279">
        <f>D53*E53</f>
        <v>200000</v>
      </c>
      <c r="G53" s="280" t="e">
        <f>F53*TC</f>
        <v>#REF!</v>
      </c>
      <c r="H53" s="77" t="s">
        <v>768</v>
      </c>
    </row>
    <row r="54" spans="1:8">
      <c r="A54" s="59"/>
      <c r="B54" s="58"/>
      <c r="C54" s="59"/>
      <c r="D54" s="279"/>
      <c r="E54" s="58"/>
      <c r="F54" s="279"/>
      <c r="G54" s="58"/>
      <c r="H54" s="77"/>
    </row>
    <row r="55" spans="1:8" ht="26.45">
      <c r="A55" s="59">
        <v>5</v>
      </c>
      <c r="B55" s="58" t="s">
        <v>774</v>
      </c>
      <c r="C55" s="59" t="s">
        <v>354</v>
      </c>
      <c r="D55" s="283">
        <v>4280</v>
      </c>
      <c r="E55" s="284">
        <v>120</v>
      </c>
      <c r="F55" s="279">
        <f>D55*E55</f>
        <v>513600</v>
      </c>
      <c r="G55" s="280" t="e">
        <f>F55*TC</f>
        <v>#REF!</v>
      </c>
      <c r="H55" s="77" t="s">
        <v>775</v>
      </c>
    </row>
    <row r="56" spans="1:8">
      <c r="A56" s="59"/>
      <c r="B56" s="58"/>
      <c r="C56" s="59"/>
      <c r="D56" s="279"/>
      <c r="E56" s="58"/>
      <c r="F56" s="279">
        <f>D56*E56</f>
        <v>0</v>
      </c>
      <c r="G56" s="58"/>
      <c r="H56" s="77"/>
    </row>
    <row r="57" spans="1:8" ht="26.45">
      <c r="A57" s="59">
        <v>6</v>
      </c>
      <c r="B57" s="58" t="s">
        <v>776</v>
      </c>
      <c r="C57" s="59" t="s">
        <v>354</v>
      </c>
      <c r="D57" s="283">
        <v>65000</v>
      </c>
      <c r="E57" s="284">
        <v>6</v>
      </c>
      <c r="F57" s="279">
        <f>D57*E57</f>
        <v>390000</v>
      </c>
      <c r="G57" s="280" t="e">
        <f>F57*TC</f>
        <v>#REF!</v>
      </c>
      <c r="H57" s="77" t="s">
        <v>768</v>
      </c>
    </row>
    <row r="58" spans="1:8">
      <c r="A58" s="59"/>
      <c r="B58" s="58"/>
      <c r="C58" s="59"/>
      <c r="D58" s="279"/>
      <c r="E58" s="58"/>
      <c r="F58" s="279"/>
      <c r="G58" s="58"/>
      <c r="H58" s="77"/>
    </row>
    <row r="59" spans="1:8" ht="26.45">
      <c r="A59" s="59">
        <v>8</v>
      </c>
      <c r="B59" s="58" t="s">
        <v>777</v>
      </c>
      <c r="C59" s="59"/>
      <c r="D59" s="283">
        <v>500000</v>
      </c>
      <c r="E59" s="284">
        <v>0</v>
      </c>
      <c r="F59" s="279">
        <f>D59*E59</f>
        <v>0</v>
      </c>
      <c r="G59" s="280" t="e">
        <f>F59*TC</f>
        <v>#REF!</v>
      </c>
      <c r="H59" s="77"/>
    </row>
    <row r="60" spans="1:8">
      <c r="A60" s="54"/>
      <c r="B60" s="54"/>
      <c r="C60" s="55"/>
      <c r="D60" s="285"/>
      <c r="E60" s="54"/>
      <c r="F60" s="285"/>
      <c r="G60" s="54"/>
      <c r="H60" s="77"/>
    </row>
    <row r="61" spans="1:8">
      <c r="A61" s="23"/>
      <c r="B61" s="23"/>
      <c r="C61" s="52"/>
      <c r="D61" s="23"/>
      <c r="E61" s="23"/>
      <c r="F61" s="23"/>
      <c r="G61" s="23"/>
      <c r="H61" s="760"/>
    </row>
    <row r="62" spans="1:8">
      <c r="A62" s="1067" t="s">
        <v>778</v>
      </c>
      <c r="B62" s="1067" t="s">
        <v>779</v>
      </c>
      <c r="C62" s="52"/>
      <c r="D62" s="23"/>
      <c r="E62" s="1125" t="s">
        <v>18</v>
      </c>
      <c r="F62" s="81">
        <f>SUM(F65:F69)</f>
        <v>0</v>
      </c>
      <c r="G62" s="81" t="e">
        <f>SUM(G65:G69)</f>
        <v>#REF!</v>
      </c>
      <c r="H62" s="760"/>
    </row>
    <row r="63" spans="1:8">
      <c r="A63" s="23"/>
      <c r="B63" s="23"/>
      <c r="C63" s="52"/>
      <c r="D63" s="23"/>
      <c r="E63" s="23"/>
      <c r="F63" s="23"/>
      <c r="G63" s="23"/>
      <c r="H63" s="760"/>
    </row>
    <row r="64" spans="1:8" ht="26.45">
      <c r="A64" s="1182" t="s">
        <v>487</v>
      </c>
      <c r="B64" s="1182" t="s">
        <v>14</v>
      </c>
      <c r="C64" s="1182" t="s">
        <v>315</v>
      </c>
      <c r="D64" s="1182" t="s">
        <v>743</v>
      </c>
      <c r="E64" s="1182" t="s">
        <v>744</v>
      </c>
      <c r="F64" s="1182" t="s">
        <v>745</v>
      </c>
      <c r="G64" s="1182" t="s">
        <v>746</v>
      </c>
      <c r="H64" s="760"/>
    </row>
    <row r="65" spans="1:8">
      <c r="A65" s="266"/>
      <c r="B65" s="267"/>
      <c r="C65" s="266"/>
      <c r="D65" s="267"/>
      <c r="E65" s="267"/>
      <c r="F65" s="268"/>
      <c r="G65" s="267"/>
      <c r="H65" s="760"/>
    </row>
    <row r="66" spans="1:8">
      <c r="A66" s="269">
        <v>1</v>
      </c>
      <c r="B66" s="270" t="s">
        <v>780</v>
      </c>
      <c r="C66" s="288" t="s">
        <v>781</v>
      </c>
      <c r="D66" s="276">
        <v>500125</v>
      </c>
      <c r="E66" s="275">
        <v>0</v>
      </c>
      <c r="F66" s="271">
        <f>D66*E66</f>
        <v>0</v>
      </c>
      <c r="G66" s="277" t="e">
        <f>F66*TC</f>
        <v>#REF!</v>
      </c>
      <c r="H66" s="760"/>
    </row>
    <row r="67" spans="1:8">
      <c r="A67" s="269"/>
      <c r="B67" s="270"/>
      <c r="C67" s="269"/>
      <c r="D67" s="271"/>
      <c r="E67" s="270"/>
      <c r="F67" s="271"/>
      <c r="G67" s="272"/>
      <c r="H67" s="760"/>
    </row>
    <row r="68" spans="1:8">
      <c r="A68" s="269">
        <v>2</v>
      </c>
      <c r="B68" s="270" t="str">
        <f>'Detalle de costos'!B199</f>
        <v xml:space="preserve">Herramientas para el Control Ciudadano y Rural </v>
      </c>
      <c r="C68" s="269" t="s">
        <v>781</v>
      </c>
      <c r="D68" s="276">
        <f>'Detalle de costos'!I211</f>
        <v>1478787.8787878787</v>
      </c>
      <c r="E68" s="275">
        <v>0</v>
      </c>
      <c r="F68" s="271">
        <f>D68*E68</f>
        <v>0</v>
      </c>
      <c r="G68" s="277" t="e">
        <f>F68*TC</f>
        <v>#REF!</v>
      </c>
      <c r="H68" s="760"/>
    </row>
    <row r="69" spans="1:8">
      <c r="A69" s="278"/>
      <c r="B69" s="273"/>
      <c r="C69" s="278"/>
      <c r="D69" s="273"/>
      <c r="E69" s="273"/>
      <c r="F69" s="274"/>
      <c r="G69" s="273"/>
      <c r="H69" s="760"/>
    </row>
    <row r="72" spans="1:8">
      <c r="A72" s="1067" t="s">
        <v>782</v>
      </c>
      <c r="B72" s="1067" t="s">
        <v>783</v>
      </c>
      <c r="C72" s="52"/>
      <c r="D72" s="23"/>
      <c r="E72" s="1181" t="s">
        <v>18</v>
      </c>
      <c r="F72" s="81">
        <f>SUM(F75:F92)</f>
        <v>3042404.6016000002</v>
      </c>
      <c r="G72" s="81" t="e">
        <f>SUM(G75:G92)</f>
        <v>#REF!</v>
      </c>
      <c r="H72" s="760"/>
    </row>
    <row r="73" spans="1:8">
      <c r="A73" s="23"/>
      <c r="B73" s="23"/>
      <c r="C73" s="52"/>
      <c r="D73" s="23"/>
      <c r="E73" s="23"/>
      <c r="F73" s="23"/>
      <c r="G73" s="23"/>
      <c r="H73" s="760"/>
    </row>
    <row r="74" spans="1:8" ht="26.45">
      <c r="A74" s="1095" t="s">
        <v>487</v>
      </c>
      <c r="B74" s="1095" t="s">
        <v>14</v>
      </c>
      <c r="C74" s="1095" t="s">
        <v>315</v>
      </c>
      <c r="D74" s="1095" t="s">
        <v>743</v>
      </c>
      <c r="E74" s="1095" t="s">
        <v>744</v>
      </c>
      <c r="F74" s="1095" t="s">
        <v>745</v>
      </c>
      <c r="G74" s="1095" t="s">
        <v>746</v>
      </c>
      <c r="H74" s="760"/>
    </row>
    <row r="75" spans="1:8">
      <c r="A75" s="65"/>
      <c r="B75" s="286"/>
      <c r="C75" s="65"/>
      <c r="D75" s="286"/>
      <c r="E75" s="286"/>
      <c r="F75" s="286"/>
      <c r="G75" s="286"/>
      <c r="H75" s="77"/>
    </row>
    <row r="76" spans="1:8" ht="26.45">
      <c r="A76" s="59">
        <v>1</v>
      </c>
      <c r="B76" s="58" t="str">
        <f>'Detalle de costos'!B6:I6</f>
        <v xml:space="preserve">Desarrollo informático para generación de documentos de traslado desde  los sistemas del contribuyente </v>
      </c>
      <c r="C76" s="59" t="s">
        <v>354</v>
      </c>
      <c r="D76" s="283">
        <f>'Detalle de costos'!I18</f>
        <v>92928</v>
      </c>
      <c r="E76" s="284">
        <v>1.3</v>
      </c>
      <c r="F76" s="279">
        <f>D76*E76</f>
        <v>120806.40000000001</v>
      </c>
      <c r="G76" s="280" t="e">
        <f t="shared" ref="G76:G91" si="0">F76*TC</f>
        <v>#REF!</v>
      </c>
      <c r="H76" s="77" t="s">
        <v>784</v>
      </c>
    </row>
    <row r="77" spans="1:8" ht="26.45">
      <c r="A77" s="59">
        <v>2</v>
      </c>
      <c r="B77" s="58" t="str">
        <f>'Detalle de costos'!B20:I20</f>
        <v>Desarrollo informático para generación de documentos de traslado en Plataforma SUNAT</v>
      </c>
      <c r="C77" s="59" t="s">
        <v>354</v>
      </c>
      <c r="D77" s="283">
        <f>'Detalle de costos'!I32</f>
        <v>88704</v>
      </c>
      <c r="E77" s="284">
        <v>1.3</v>
      </c>
      <c r="F77" s="279">
        <f t="shared" ref="F77:F91" si="1">D77*E77</f>
        <v>115315.2</v>
      </c>
      <c r="G77" s="280" t="e">
        <f t="shared" si="0"/>
        <v>#REF!</v>
      </c>
      <c r="H77" s="77" t="s">
        <v>784</v>
      </c>
    </row>
    <row r="78" spans="1:8" ht="26.45">
      <c r="A78" s="59">
        <v>3</v>
      </c>
      <c r="B78" s="58" t="str">
        <f>'Detalle de costos'!B34:I34</f>
        <v xml:space="preserve">Implementacion informatica del Modelo de riesgo de actores </v>
      </c>
      <c r="C78" s="59" t="s">
        <v>354</v>
      </c>
      <c r="D78" s="283">
        <f>'Detalle de costos'!I49</f>
        <v>145024</v>
      </c>
      <c r="E78" s="284">
        <v>1.3</v>
      </c>
      <c r="F78" s="279">
        <f t="shared" si="1"/>
        <v>188531.20000000001</v>
      </c>
      <c r="G78" s="280" t="e">
        <f t="shared" si="0"/>
        <v>#REF!</v>
      </c>
      <c r="H78" s="77" t="s">
        <v>785</v>
      </c>
    </row>
    <row r="79" spans="1:8" ht="26.45">
      <c r="A79" s="59">
        <v>4</v>
      </c>
      <c r="B79" s="58" t="str">
        <f>'Detalle de costos'!B52:I52</f>
        <v>Desarrollo y entrega en operación sistema integrado para el control de trazabilidad.</v>
      </c>
      <c r="C79" s="59" t="s">
        <v>354</v>
      </c>
      <c r="D79" s="283">
        <f>'Detalle de costos'!I67</f>
        <v>862752</v>
      </c>
      <c r="E79" s="284">
        <v>1.3</v>
      </c>
      <c r="F79" s="279">
        <f t="shared" si="1"/>
        <v>1121577.6000000001</v>
      </c>
      <c r="G79" s="280" t="e">
        <f t="shared" si="0"/>
        <v>#REF!</v>
      </c>
      <c r="H79" s="77" t="s">
        <v>786</v>
      </c>
    </row>
    <row r="80" spans="1:8" ht="26.45">
      <c r="A80" s="59">
        <v>5</v>
      </c>
      <c r="B80" s="58" t="str">
        <f>'Detalle de costos'!B70:I70</f>
        <v xml:space="preserve">Desarrollo Informatico integracion con la Factura Electronica y deteccion de incumpliento Tributarios </v>
      </c>
      <c r="C80" s="59" t="s">
        <v>354</v>
      </c>
      <c r="D80" s="283">
        <f>'Detalle de costos'!I83</f>
        <v>89056</v>
      </c>
      <c r="E80" s="284">
        <v>0</v>
      </c>
      <c r="F80" s="279">
        <f t="shared" si="1"/>
        <v>0</v>
      </c>
      <c r="G80" s="280" t="e">
        <f t="shared" si="0"/>
        <v>#REF!</v>
      </c>
      <c r="H80" s="77"/>
    </row>
    <row r="81" spans="1:8" ht="26.45">
      <c r="A81" s="59">
        <v>6</v>
      </c>
      <c r="B81" s="58" t="str">
        <f>'Detalle de costos'!B86:I86</f>
        <v xml:space="preserve">Implementacion informatica de alertas para el control preventivo, concurrente y/o posterior </v>
      </c>
      <c r="C81" s="59" t="s">
        <v>354</v>
      </c>
      <c r="D81" s="283">
        <f>'Detalle de costos'!I98</f>
        <v>72336</v>
      </c>
      <c r="E81" s="284">
        <v>1.3</v>
      </c>
      <c r="F81" s="279">
        <f t="shared" si="1"/>
        <v>94036.800000000003</v>
      </c>
      <c r="G81" s="280" t="e">
        <f t="shared" si="0"/>
        <v>#REF!</v>
      </c>
      <c r="H81" s="77" t="s">
        <v>785</v>
      </c>
    </row>
    <row r="82" spans="1:8" ht="46.5" customHeight="1">
      <c r="A82" s="59">
        <v>7</v>
      </c>
      <c r="B82" s="58" t="str">
        <f>'Detalle de costos'!B102:I102</f>
        <v xml:space="preserve">Desarrollo infomatico para  la integracion y poner a disposicion de los sectores involucrados la información del traslado de mercancias </v>
      </c>
      <c r="C82" s="59" t="s">
        <v>787</v>
      </c>
      <c r="D82" s="283">
        <f>'Detalle de costos'!I115</f>
        <v>118800</v>
      </c>
      <c r="E82" s="284">
        <v>0</v>
      </c>
      <c r="F82" s="279">
        <f t="shared" si="1"/>
        <v>0</v>
      </c>
      <c r="G82" s="280" t="e">
        <f t="shared" si="0"/>
        <v>#REF!</v>
      </c>
      <c r="H82" s="77"/>
    </row>
    <row r="83" spans="1:8" ht="26.45">
      <c r="A83" s="59">
        <v>8</v>
      </c>
      <c r="B83" s="58" t="str">
        <f>'Detalle de costos'!B118:I118</f>
        <v>Implementacion informática del servicio de trazabilidad digital (Integración de servicios con SUNAT)</v>
      </c>
      <c r="C83" s="59" t="s">
        <v>354</v>
      </c>
      <c r="D83" s="283">
        <f>'Detalle de costos'!I131</f>
        <v>127600</v>
      </c>
      <c r="E83" s="284">
        <v>1.3</v>
      </c>
      <c r="F83" s="279">
        <f t="shared" si="1"/>
        <v>165880</v>
      </c>
      <c r="G83" s="280" t="e">
        <f t="shared" si="0"/>
        <v>#REF!</v>
      </c>
      <c r="H83" s="77" t="s">
        <v>788</v>
      </c>
    </row>
    <row r="84" spans="1:8" ht="26.45">
      <c r="A84" s="59">
        <v>9</v>
      </c>
      <c r="B84" s="58" t="str">
        <f>'Detalle de costos'!B135:I135</f>
        <v xml:space="preserve">Implementacion informatica del servicio de trazabilidad Fisica </v>
      </c>
      <c r="C84" s="59" t="s">
        <v>354</v>
      </c>
      <c r="D84" s="283">
        <f>'Detalle de costos'!I148</f>
        <v>199760</v>
      </c>
      <c r="E84" s="284">
        <v>1.3</v>
      </c>
      <c r="F84" s="279">
        <f t="shared" si="1"/>
        <v>259688</v>
      </c>
      <c r="G84" s="280" t="e">
        <f t="shared" si="0"/>
        <v>#REF!</v>
      </c>
      <c r="H84" s="77" t="s">
        <v>788</v>
      </c>
    </row>
    <row r="85" spans="1:8" ht="26.45">
      <c r="A85" s="59">
        <v>10</v>
      </c>
      <c r="B85" s="58" t="str">
        <f>'Detalle de costos'!B151:I151</f>
        <v>Implementación de tecnología de sensores (lectoras de placas, antenas y cámaras inteligentes)</v>
      </c>
      <c r="C85" s="59" t="s">
        <v>789</v>
      </c>
      <c r="D85" s="283">
        <f>'Detalle de costos'!I164</f>
        <v>92801.808000000005</v>
      </c>
      <c r="E85" s="284">
        <f>4*1.3</f>
        <v>5.2</v>
      </c>
      <c r="F85" s="279">
        <f t="shared" si="1"/>
        <v>482569.40160000004</v>
      </c>
      <c r="G85" s="280" t="e">
        <f t="shared" si="0"/>
        <v>#REF!</v>
      </c>
      <c r="H85" s="77" t="s">
        <v>768</v>
      </c>
    </row>
    <row r="86" spans="1:8" ht="51" customHeight="1">
      <c r="A86" s="59">
        <v>11</v>
      </c>
      <c r="B86" s="58" t="str">
        <f>'Detalle de costos'!B167:I167</f>
        <v xml:space="preserve">Desarrollo informático para la integracion de información de sensores a las herramientas de explotacion analíticas para análisis de transacciones, patrones de comportamiento y tendencias </v>
      </c>
      <c r="C86" s="59" t="s">
        <v>789</v>
      </c>
      <c r="D86" s="283">
        <f>'Detalle de costos'!I181</f>
        <v>120032</v>
      </c>
      <c r="E86" s="284">
        <v>0</v>
      </c>
      <c r="F86" s="279">
        <f t="shared" si="1"/>
        <v>0</v>
      </c>
      <c r="G86" s="280" t="e">
        <f t="shared" si="0"/>
        <v>#REF!</v>
      </c>
      <c r="H86" s="77"/>
    </row>
    <row r="87" spans="1:8">
      <c r="A87" s="59">
        <v>12</v>
      </c>
      <c r="B87" s="58" t="s">
        <v>790</v>
      </c>
      <c r="C87" s="59" t="s">
        <v>791</v>
      </c>
      <c r="D87" s="283">
        <v>494000</v>
      </c>
      <c r="E87" s="284">
        <v>1</v>
      </c>
      <c r="F87" s="279">
        <f t="shared" si="1"/>
        <v>494000</v>
      </c>
      <c r="G87" s="280" t="e">
        <f t="shared" si="0"/>
        <v>#REF!</v>
      </c>
      <c r="H87" s="77" t="s">
        <v>768</v>
      </c>
    </row>
    <row r="88" spans="1:8">
      <c r="A88" s="59">
        <v>13</v>
      </c>
      <c r="B88" s="58"/>
      <c r="C88" s="59" t="s">
        <v>354</v>
      </c>
      <c r="D88" s="283"/>
      <c r="E88" s="284">
        <v>1</v>
      </c>
      <c r="F88" s="279">
        <f t="shared" si="1"/>
        <v>0</v>
      </c>
      <c r="G88" s="280" t="e">
        <f t="shared" si="0"/>
        <v>#REF!</v>
      </c>
      <c r="H88" s="77"/>
    </row>
    <row r="89" spans="1:8">
      <c r="A89" s="59">
        <v>14</v>
      </c>
      <c r="B89" s="58"/>
      <c r="C89" s="59" t="s">
        <v>354</v>
      </c>
      <c r="D89" s="283"/>
      <c r="E89" s="284">
        <v>1</v>
      </c>
      <c r="F89" s="279">
        <f t="shared" si="1"/>
        <v>0</v>
      </c>
      <c r="G89" s="280" t="e">
        <f t="shared" si="0"/>
        <v>#REF!</v>
      </c>
      <c r="H89" s="77"/>
    </row>
    <row r="90" spans="1:8">
      <c r="A90" s="59">
        <v>15</v>
      </c>
      <c r="B90" s="58"/>
      <c r="C90" s="59" t="s">
        <v>354</v>
      </c>
      <c r="D90" s="283"/>
      <c r="E90" s="284">
        <v>1</v>
      </c>
      <c r="F90" s="279">
        <f t="shared" si="1"/>
        <v>0</v>
      </c>
      <c r="G90" s="280" t="e">
        <f t="shared" si="0"/>
        <v>#REF!</v>
      </c>
      <c r="H90" s="77"/>
    </row>
    <row r="91" spans="1:8">
      <c r="A91" s="59">
        <v>16</v>
      </c>
      <c r="B91" s="58"/>
      <c r="C91" s="59" t="s">
        <v>354</v>
      </c>
      <c r="D91" s="283"/>
      <c r="E91" s="284">
        <v>1</v>
      </c>
      <c r="F91" s="279">
        <f t="shared" si="1"/>
        <v>0</v>
      </c>
      <c r="G91" s="280" t="e">
        <f t="shared" si="0"/>
        <v>#REF!</v>
      </c>
      <c r="H91" s="77"/>
    </row>
    <row r="92" spans="1:8">
      <c r="A92" s="773"/>
      <c r="B92" s="182"/>
      <c r="C92" s="55"/>
      <c r="D92" s="182"/>
      <c r="E92" s="182"/>
      <c r="F92" s="182"/>
      <c r="G92" s="182"/>
      <c r="H92" s="77"/>
    </row>
    <row r="93" spans="1:8">
      <c r="A93" s="48"/>
      <c r="B93" s="34"/>
      <c r="C93" s="48"/>
      <c r="D93" s="34"/>
      <c r="E93" s="34"/>
      <c r="F93" s="34"/>
      <c r="G93" s="34"/>
      <c r="H93" s="760"/>
    </row>
    <row r="94" spans="1:8">
      <c r="A94" s="48"/>
      <c r="B94" s="34"/>
      <c r="C94" s="48"/>
      <c r="D94" s="34"/>
      <c r="E94" s="34"/>
      <c r="F94" s="34"/>
      <c r="G94" s="34"/>
      <c r="H94" s="760"/>
    </row>
    <row r="95" spans="1:8">
      <c r="A95" s="1067" t="s">
        <v>792</v>
      </c>
      <c r="B95" s="1067" t="s">
        <v>793</v>
      </c>
      <c r="C95" s="52"/>
      <c r="D95" s="23"/>
      <c r="E95" s="1181" t="s">
        <v>18</v>
      </c>
      <c r="F95" s="81">
        <f>SUM(F98:F102)</f>
        <v>800000</v>
      </c>
      <c r="G95" s="81" t="e">
        <f>SUM(G98:G102)</f>
        <v>#REF!</v>
      </c>
      <c r="H95" s="760"/>
    </row>
    <row r="96" spans="1:8">
      <c r="A96" s="23"/>
      <c r="B96" s="23"/>
      <c r="C96" s="52"/>
      <c r="D96" s="23"/>
      <c r="E96" s="23"/>
      <c r="F96" s="23"/>
      <c r="G96" s="23"/>
      <c r="H96" s="760"/>
    </row>
    <row r="97" spans="1:7" ht="26.45">
      <c r="A97" s="1095" t="s">
        <v>487</v>
      </c>
      <c r="B97" s="1095" t="s">
        <v>14</v>
      </c>
      <c r="C97" s="1095" t="s">
        <v>315</v>
      </c>
      <c r="D97" s="1095" t="s">
        <v>743</v>
      </c>
      <c r="E97" s="1095" t="s">
        <v>744</v>
      </c>
      <c r="F97" s="1095" t="s">
        <v>745</v>
      </c>
      <c r="G97" s="1095" t="s">
        <v>746</v>
      </c>
    </row>
    <row r="98" spans="1:7">
      <c r="A98" s="264"/>
      <c r="B98" s="264"/>
      <c r="C98" s="18"/>
      <c r="D98" s="264"/>
      <c r="E98" s="289"/>
      <c r="F98" s="264"/>
      <c r="G98" s="264"/>
    </row>
    <row r="99" spans="1:7" ht="26.45">
      <c r="A99" s="59">
        <v>1</v>
      </c>
      <c r="B99" s="58" t="s">
        <v>794</v>
      </c>
      <c r="C99" s="59" t="s">
        <v>354</v>
      </c>
      <c r="D99" s="283">
        <v>500000</v>
      </c>
      <c r="E99" s="263">
        <v>1</v>
      </c>
      <c r="F99" s="279">
        <f>D99*E99</f>
        <v>500000</v>
      </c>
      <c r="G99" s="280" t="e">
        <f>F99*TC</f>
        <v>#REF!</v>
      </c>
    </row>
    <row r="100" spans="1:7">
      <c r="A100" s="59"/>
      <c r="B100" s="58"/>
      <c r="C100" s="59"/>
      <c r="D100" s="58"/>
      <c r="E100" s="59"/>
      <c r="F100" s="279"/>
      <c r="G100" s="280"/>
    </row>
    <row r="101" spans="1:7" ht="26.45">
      <c r="A101" s="59">
        <v>2</v>
      </c>
      <c r="B101" s="58" t="s">
        <v>795</v>
      </c>
      <c r="C101" s="59" t="s">
        <v>354</v>
      </c>
      <c r="D101" s="283">
        <v>300000</v>
      </c>
      <c r="E101" s="263">
        <v>1</v>
      </c>
      <c r="F101" s="279">
        <f>D101*E101</f>
        <v>300000</v>
      </c>
      <c r="G101" s="280" t="e">
        <f>F101*TC</f>
        <v>#REF!</v>
      </c>
    </row>
    <row r="102" spans="1:7">
      <c r="A102" s="265"/>
      <c r="B102" s="265"/>
      <c r="C102" s="19"/>
      <c r="D102" s="265"/>
      <c r="E102" s="19"/>
      <c r="F102" s="265"/>
      <c r="G102" s="265"/>
    </row>
    <row r="106" spans="1:7">
      <c r="A106" s="1067" t="s">
        <v>796</v>
      </c>
      <c r="B106" s="1067" t="s">
        <v>797</v>
      </c>
      <c r="C106" s="52"/>
      <c r="D106" s="23"/>
      <c r="E106" s="1181" t="s">
        <v>18</v>
      </c>
      <c r="F106" s="81">
        <f>SUM(F109:F126)</f>
        <v>0</v>
      </c>
      <c r="G106" s="81" t="e">
        <f>SUM(G109:G126)</f>
        <v>#REF!</v>
      </c>
    </row>
    <row r="107" spans="1:7">
      <c r="A107" s="23"/>
      <c r="B107" s="23"/>
      <c r="C107" s="52"/>
      <c r="D107" s="23"/>
      <c r="E107" s="23"/>
      <c r="F107" s="23"/>
      <c r="G107" s="23"/>
    </row>
    <row r="108" spans="1:7" ht="26.45">
      <c r="A108" s="1095" t="s">
        <v>487</v>
      </c>
      <c r="B108" s="1095" t="s">
        <v>14</v>
      </c>
      <c r="C108" s="1095" t="s">
        <v>315</v>
      </c>
      <c r="D108" s="1095" t="s">
        <v>743</v>
      </c>
      <c r="E108" s="1095" t="s">
        <v>744</v>
      </c>
      <c r="F108" s="1095" t="s">
        <v>745</v>
      </c>
      <c r="G108" s="1095" t="s">
        <v>746</v>
      </c>
    </row>
    <row r="109" spans="1:7">
      <c r="A109" s="65"/>
      <c r="B109" s="286"/>
      <c r="C109" s="65"/>
      <c r="D109" s="286"/>
      <c r="E109" s="286"/>
      <c r="F109" s="286"/>
      <c r="G109" s="286"/>
    </row>
    <row r="110" spans="1:7" ht="24.75" customHeight="1">
      <c r="A110" s="59">
        <v>1</v>
      </c>
      <c r="B110" s="58" t="str">
        <f>'Detalle de costos'!B216:I216</f>
        <v>Servicios informáticos para la implementacion de un Centro de monitoreo virtual (control transversal)</v>
      </c>
      <c r="C110" s="59" t="s">
        <v>354</v>
      </c>
      <c r="D110" s="283">
        <f>'Detalle de costos'!I228</f>
        <v>215424</v>
      </c>
      <c r="E110" s="284">
        <v>0</v>
      </c>
      <c r="F110" s="279">
        <f>D110*E110</f>
        <v>0</v>
      </c>
      <c r="G110" s="280" t="e">
        <f>F110*TC</f>
        <v>#REF!</v>
      </c>
    </row>
    <row r="111" spans="1:7" ht="24.75" customHeight="1">
      <c r="A111" s="59">
        <v>2</v>
      </c>
      <c r="B111" s="58"/>
      <c r="C111" s="59" t="s">
        <v>354</v>
      </c>
      <c r="D111" s="283"/>
      <c r="E111" s="284">
        <v>0</v>
      </c>
      <c r="F111" s="279">
        <f>D111*E111</f>
        <v>0</v>
      </c>
      <c r="G111" s="280" t="e">
        <f>F111*TC</f>
        <v>#REF!</v>
      </c>
    </row>
    <row r="112" spans="1:7" ht="24.75" customHeight="1">
      <c r="A112" s="59">
        <v>3</v>
      </c>
      <c r="B112" s="58"/>
      <c r="C112" s="59" t="s">
        <v>354</v>
      </c>
      <c r="D112" s="283"/>
      <c r="E112" s="284">
        <v>0</v>
      </c>
      <c r="F112" s="279">
        <f>D112*E112</f>
        <v>0</v>
      </c>
      <c r="G112" s="280" t="e">
        <f>F112*TC</f>
        <v>#REF!</v>
      </c>
    </row>
    <row r="113" spans="1:7">
      <c r="A113" s="265"/>
      <c r="B113" s="265"/>
      <c r="C113" s="19"/>
      <c r="D113" s="265"/>
      <c r="E113" s="265"/>
      <c r="F113" s="265"/>
      <c r="G113" s="265"/>
    </row>
  </sheetData>
  <phoneticPr fontId="2" type="noConversion"/>
  <pageMargins left="0.75" right="0.75" top="1" bottom="1" header="0" footer="0"/>
  <pageSetup paperSize="9" scale="68" fitToHeight="6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9"/>
  <dimension ref="A2:K228"/>
  <sheetViews>
    <sheetView topLeftCell="A148" zoomScale="115" zoomScaleNormal="70" workbookViewId="0">
      <selection activeCell="C163" activeCellId="2" sqref="C160 C161 C163"/>
    </sheetView>
  </sheetViews>
  <sheetFormatPr defaultColWidth="9.140625" defaultRowHeight="14.45"/>
  <cols>
    <col min="1" max="1" width="9.140625" style="291" customWidth="1"/>
    <col min="2" max="2" width="30.28515625" style="291" customWidth="1"/>
    <col min="3" max="7" width="9.140625" style="291" customWidth="1"/>
    <col min="8" max="8" width="12.42578125" style="291" bestFit="1" customWidth="1"/>
    <col min="9" max="9" width="18.28515625" style="291" bestFit="1" customWidth="1"/>
    <col min="10" max="10" width="14.42578125" style="291" customWidth="1"/>
    <col min="11" max="11" width="0" style="291" hidden="1" customWidth="1"/>
    <col min="12" max="16384" width="9.140625" style="291"/>
  </cols>
  <sheetData>
    <row r="2" spans="1:11">
      <c r="B2" s="291" t="s">
        <v>798</v>
      </c>
      <c r="C2" s="308">
        <v>0</v>
      </c>
    </row>
    <row r="3" spans="1:11">
      <c r="C3" s="309"/>
    </row>
    <row r="4" spans="1:11" ht="15.6">
      <c r="A4" s="311" t="s">
        <v>799</v>
      </c>
      <c r="B4" s="310" t="s">
        <v>800</v>
      </c>
      <c r="C4" s="309"/>
    </row>
    <row r="5" spans="1:11" ht="13.5" customHeight="1"/>
    <row r="6" spans="1:11">
      <c r="B6" s="1004" t="s">
        <v>801</v>
      </c>
      <c r="C6" s="1004"/>
      <c r="D6" s="1004"/>
      <c r="E6" s="1004"/>
      <c r="F6" s="1004"/>
      <c r="G6" s="1004"/>
      <c r="H6" s="1004"/>
      <c r="I6" s="1004"/>
    </row>
    <row r="7" spans="1:11">
      <c r="B7" s="291" t="s">
        <v>802</v>
      </c>
    </row>
    <row r="8" spans="1:11" ht="28.9">
      <c r="B8" s="292" t="s">
        <v>803</v>
      </c>
      <c r="C8" s="293" t="s">
        <v>804</v>
      </c>
      <c r="D8" s="293" t="s">
        <v>805</v>
      </c>
      <c r="E8" s="293" t="s">
        <v>806</v>
      </c>
      <c r="F8" s="293" t="s">
        <v>807</v>
      </c>
      <c r="G8" s="293" t="s">
        <v>808</v>
      </c>
      <c r="H8" s="293" t="s">
        <v>809</v>
      </c>
      <c r="I8" s="293" t="s">
        <v>810</v>
      </c>
      <c r="K8" s="294" t="s">
        <v>811</v>
      </c>
    </row>
    <row r="9" spans="1:11">
      <c r="B9" s="295" t="s">
        <v>812</v>
      </c>
      <c r="C9" s="295">
        <v>1</v>
      </c>
      <c r="D9" s="295">
        <v>6</v>
      </c>
      <c r="E9" s="295">
        <v>22</v>
      </c>
      <c r="F9" s="295">
        <v>8</v>
      </c>
      <c r="G9" s="295">
        <f>C9*D9*E9*F9</f>
        <v>1056</v>
      </c>
      <c r="H9" s="295">
        <v>23</v>
      </c>
      <c r="I9" s="296">
        <f>G9*H9</f>
        <v>24288</v>
      </c>
      <c r="K9" s="291">
        <v>73.86</v>
      </c>
    </row>
    <row r="10" spans="1:11">
      <c r="B10" s="295" t="s">
        <v>813</v>
      </c>
      <c r="C10" s="295">
        <v>2</v>
      </c>
      <c r="D10" s="295">
        <v>3</v>
      </c>
      <c r="E10" s="295">
        <v>22</v>
      </c>
      <c r="F10" s="295">
        <v>8</v>
      </c>
      <c r="G10" s="295">
        <f>C10*D10*E10*F10</f>
        <v>1056</v>
      </c>
      <c r="H10" s="295">
        <v>15</v>
      </c>
      <c r="I10" s="296">
        <f>G10*H10</f>
        <v>15840</v>
      </c>
      <c r="K10" s="291">
        <v>48.3</v>
      </c>
    </row>
    <row r="11" spans="1:11">
      <c r="B11" s="295" t="s">
        <v>814</v>
      </c>
      <c r="C11" s="295">
        <v>3</v>
      </c>
      <c r="D11" s="295">
        <v>4</v>
      </c>
      <c r="E11" s="295">
        <v>22</v>
      </c>
      <c r="F11" s="295">
        <v>8</v>
      </c>
      <c r="G11" s="295">
        <f>C11*D11*E11*F11</f>
        <v>2112</v>
      </c>
      <c r="H11" s="295">
        <v>18</v>
      </c>
      <c r="I11" s="296">
        <f>G11*H11</f>
        <v>38016</v>
      </c>
      <c r="K11" s="291">
        <v>56.82</v>
      </c>
    </row>
    <row r="12" spans="1:11">
      <c r="B12" s="295" t="s">
        <v>815</v>
      </c>
      <c r="C12" s="295">
        <v>2</v>
      </c>
      <c r="D12" s="295">
        <v>3</v>
      </c>
      <c r="E12" s="295">
        <v>22</v>
      </c>
      <c r="F12" s="295">
        <v>8</v>
      </c>
      <c r="G12" s="295">
        <f>C12*D12*E12*F12</f>
        <v>1056</v>
      </c>
      <c r="H12" s="295">
        <v>14</v>
      </c>
      <c r="I12" s="296">
        <f>G12*H12</f>
        <v>14784</v>
      </c>
      <c r="K12" s="291">
        <v>45.45</v>
      </c>
    </row>
    <row r="13" spans="1:11" s="299" customFormat="1">
      <c r="B13" s="297" t="s">
        <v>816</v>
      </c>
      <c r="C13" s="297"/>
      <c r="D13" s="297"/>
      <c r="E13" s="297"/>
      <c r="F13" s="297"/>
      <c r="G13" s="295">
        <f>SUM(G9:G12)</f>
        <v>5280</v>
      </c>
      <c r="H13" s="297"/>
      <c r="I13" s="298">
        <f>SUM(I9:I12)</f>
        <v>92928</v>
      </c>
    </row>
    <row r="14" spans="1:11">
      <c r="B14" s="295" t="s">
        <v>817</v>
      </c>
      <c r="C14" s="300">
        <f>10%*Terceriza</f>
        <v>0</v>
      </c>
      <c r="D14" s="295"/>
      <c r="E14" s="295"/>
      <c r="F14" s="295"/>
      <c r="G14" s="295"/>
      <c r="H14" s="295"/>
      <c r="I14" s="296">
        <f>I13*C14</f>
        <v>0</v>
      </c>
    </row>
    <row r="15" spans="1:11">
      <c r="B15" s="295" t="s">
        <v>818</v>
      </c>
      <c r="C15" s="300">
        <f>25%*Terceriza</f>
        <v>0</v>
      </c>
      <c r="D15" s="295"/>
      <c r="E15" s="295"/>
      <c r="F15" s="295"/>
      <c r="G15" s="295"/>
      <c r="H15" s="295"/>
      <c r="I15" s="296">
        <f>I13*C15</f>
        <v>0</v>
      </c>
    </row>
    <row r="16" spans="1:11">
      <c r="B16" s="295" t="s">
        <v>819</v>
      </c>
      <c r="C16" s="295"/>
      <c r="D16" s="295"/>
      <c r="E16" s="295"/>
      <c r="F16" s="295"/>
      <c r="G16" s="295"/>
      <c r="H16" s="295"/>
      <c r="I16" s="296">
        <f>SUM(I13:I15)</f>
        <v>92928</v>
      </c>
    </row>
    <row r="17" spans="2:11">
      <c r="B17" s="295" t="s">
        <v>820</v>
      </c>
      <c r="C17" s="300">
        <f>18%*Terceriza</f>
        <v>0</v>
      </c>
      <c r="D17" s="295"/>
      <c r="E17" s="295"/>
      <c r="F17" s="295"/>
      <c r="G17" s="295"/>
      <c r="H17" s="295"/>
      <c r="I17" s="296">
        <f>I16*C17</f>
        <v>0</v>
      </c>
    </row>
    <row r="18" spans="2:11" s="299" customFormat="1">
      <c r="B18" s="1001" t="s">
        <v>821</v>
      </c>
      <c r="C18" s="1002"/>
      <c r="D18" s="1002"/>
      <c r="E18" s="1002"/>
      <c r="F18" s="1002"/>
      <c r="G18" s="1002"/>
      <c r="H18" s="1003"/>
      <c r="I18" s="298">
        <f>SUM(I16:I17)</f>
        <v>92928</v>
      </c>
      <c r="J18" s="298">
        <f>I18*1.3</f>
        <v>120806.40000000001</v>
      </c>
    </row>
    <row r="20" spans="2:11">
      <c r="B20" s="1004" t="s">
        <v>822</v>
      </c>
      <c r="C20" s="1004"/>
      <c r="D20" s="1004"/>
      <c r="E20" s="1004"/>
      <c r="F20" s="1004"/>
      <c r="G20" s="1004"/>
      <c r="H20" s="1004"/>
      <c r="I20" s="1004"/>
    </row>
    <row r="21" spans="2:11">
      <c r="B21" s="291" t="s">
        <v>823</v>
      </c>
    </row>
    <row r="22" spans="2:11" ht="28.9">
      <c r="B22" s="292" t="s">
        <v>803</v>
      </c>
      <c r="C22" s="293" t="s">
        <v>804</v>
      </c>
      <c r="D22" s="293" t="s">
        <v>805</v>
      </c>
      <c r="E22" s="293" t="s">
        <v>806</v>
      </c>
      <c r="F22" s="293" t="s">
        <v>807</v>
      </c>
      <c r="G22" s="293" t="s">
        <v>808</v>
      </c>
      <c r="H22" s="293" t="s">
        <v>809</v>
      </c>
      <c r="I22" s="293" t="s">
        <v>810</v>
      </c>
      <c r="K22" s="294" t="s">
        <v>811</v>
      </c>
    </row>
    <row r="23" spans="2:11">
      <c r="B23" s="295" t="s">
        <v>812</v>
      </c>
      <c r="C23" s="295">
        <v>1</v>
      </c>
      <c r="D23" s="295">
        <v>6</v>
      </c>
      <c r="E23" s="295">
        <v>22</v>
      </c>
      <c r="F23" s="295">
        <v>8</v>
      </c>
      <c r="G23" s="295">
        <f>C23*D23*E23*F23</f>
        <v>1056</v>
      </c>
      <c r="H23" s="295">
        <v>23</v>
      </c>
      <c r="I23" s="296">
        <f>G23*H23</f>
        <v>24288</v>
      </c>
      <c r="K23" s="291">
        <v>73.86</v>
      </c>
    </row>
    <row r="24" spans="2:11">
      <c r="B24" s="295" t="s">
        <v>813</v>
      </c>
      <c r="C24" s="295">
        <v>2</v>
      </c>
      <c r="D24" s="295">
        <v>4</v>
      </c>
      <c r="E24" s="295">
        <v>22</v>
      </c>
      <c r="F24" s="295">
        <v>8</v>
      </c>
      <c r="G24" s="295">
        <f>C24*D24*E24*F24</f>
        <v>1408</v>
      </c>
      <c r="H24" s="295">
        <v>15</v>
      </c>
      <c r="I24" s="296">
        <f>G24*H24</f>
        <v>21120</v>
      </c>
      <c r="K24" s="291">
        <v>48.3</v>
      </c>
    </row>
    <row r="25" spans="2:11">
      <c r="B25" s="295" t="s">
        <v>814</v>
      </c>
      <c r="C25" s="295">
        <v>3</v>
      </c>
      <c r="D25" s="295">
        <v>3</v>
      </c>
      <c r="E25" s="295">
        <v>22</v>
      </c>
      <c r="F25" s="295">
        <v>8</v>
      </c>
      <c r="G25" s="295">
        <f>C25*D25*E25*F25</f>
        <v>1584</v>
      </c>
      <c r="H25" s="295">
        <v>18</v>
      </c>
      <c r="I25" s="296">
        <f>G25*H25</f>
        <v>28512</v>
      </c>
      <c r="K25" s="291">
        <v>56.82</v>
      </c>
    </row>
    <row r="26" spans="2:11">
      <c r="B26" s="295" t="s">
        <v>815</v>
      </c>
      <c r="C26" s="295">
        <v>2</v>
      </c>
      <c r="D26" s="295">
        <v>3</v>
      </c>
      <c r="E26" s="295">
        <v>22</v>
      </c>
      <c r="F26" s="295">
        <v>8</v>
      </c>
      <c r="G26" s="295">
        <f>C26*D26*E26*F26</f>
        <v>1056</v>
      </c>
      <c r="H26" s="295">
        <v>14</v>
      </c>
      <c r="I26" s="296">
        <f>G26*H26</f>
        <v>14784</v>
      </c>
      <c r="K26" s="291">
        <v>45.45</v>
      </c>
    </row>
    <row r="27" spans="2:11">
      <c r="B27" s="297" t="s">
        <v>816</v>
      </c>
      <c r="C27" s="295"/>
      <c r="D27" s="295"/>
      <c r="E27" s="295"/>
      <c r="F27" s="295"/>
      <c r="G27" s="295">
        <f>SUM(G23:G26)</f>
        <v>5104</v>
      </c>
      <c r="H27" s="295"/>
      <c r="I27" s="298">
        <f>SUM(I23:I26)</f>
        <v>88704</v>
      </c>
    </row>
    <row r="28" spans="2:11">
      <c r="B28" s="295" t="s">
        <v>817</v>
      </c>
      <c r="C28" s="300">
        <f>10%*Terceriza</f>
        <v>0</v>
      </c>
      <c r="D28" s="295"/>
      <c r="E28" s="295"/>
      <c r="F28" s="295"/>
      <c r="G28" s="295"/>
      <c r="H28" s="295"/>
      <c r="I28" s="296">
        <f>I27*C28</f>
        <v>0</v>
      </c>
    </row>
    <row r="29" spans="2:11">
      <c r="B29" s="295" t="s">
        <v>818</v>
      </c>
      <c r="C29" s="300">
        <f>25%*Terceriza</f>
        <v>0</v>
      </c>
      <c r="D29" s="295"/>
      <c r="E29" s="295"/>
      <c r="F29" s="295"/>
      <c r="G29" s="295"/>
      <c r="H29" s="295"/>
      <c r="I29" s="296">
        <f>I27*C29</f>
        <v>0</v>
      </c>
    </row>
    <row r="30" spans="2:11">
      <c r="B30" s="295" t="s">
        <v>819</v>
      </c>
      <c r="C30" s="295"/>
      <c r="D30" s="295"/>
      <c r="E30" s="295"/>
      <c r="F30" s="295"/>
      <c r="G30" s="295"/>
      <c r="H30" s="295"/>
      <c r="I30" s="296">
        <f>SUM(I27:I29)</f>
        <v>88704</v>
      </c>
    </row>
    <row r="31" spans="2:11">
      <c r="B31" s="295" t="s">
        <v>820</v>
      </c>
      <c r="C31" s="300">
        <f>18%*Terceriza</f>
        <v>0</v>
      </c>
      <c r="D31" s="295"/>
      <c r="E31" s="295"/>
      <c r="F31" s="295"/>
      <c r="G31" s="295"/>
      <c r="H31" s="295"/>
      <c r="I31" s="296">
        <f>I30*C31</f>
        <v>0</v>
      </c>
    </row>
    <row r="32" spans="2:11" s="299" customFormat="1">
      <c r="B32" s="1001" t="s">
        <v>821</v>
      </c>
      <c r="C32" s="1002"/>
      <c r="D32" s="1002"/>
      <c r="E32" s="1002"/>
      <c r="F32" s="1002"/>
      <c r="G32" s="1002"/>
      <c r="H32" s="1003"/>
      <c r="I32" s="298">
        <f>SUM(I30:I31)</f>
        <v>88704</v>
      </c>
    </row>
    <row r="34" spans="2:11">
      <c r="B34" s="1004" t="s">
        <v>824</v>
      </c>
      <c r="C34" s="1004"/>
      <c r="D34" s="1004"/>
      <c r="E34" s="1004"/>
      <c r="F34" s="1004"/>
      <c r="G34" s="1004"/>
      <c r="H34" s="1004"/>
      <c r="I34" s="1004"/>
    </row>
    <row r="35" spans="2:11">
      <c r="B35" s="291" t="s">
        <v>823</v>
      </c>
    </row>
    <row r="36" spans="2:11" ht="28.9">
      <c r="B36" s="292" t="s">
        <v>803</v>
      </c>
      <c r="C36" s="293" t="s">
        <v>804</v>
      </c>
      <c r="D36" s="293" t="s">
        <v>805</v>
      </c>
      <c r="E36" s="293" t="s">
        <v>806</v>
      </c>
      <c r="F36" s="293" t="s">
        <v>807</v>
      </c>
      <c r="G36" s="293" t="s">
        <v>808</v>
      </c>
      <c r="H36" s="293" t="s">
        <v>809</v>
      </c>
      <c r="I36" s="293" t="s">
        <v>810</v>
      </c>
      <c r="K36" s="294" t="s">
        <v>811</v>
      </c>
    </row>
    <row r="37" spans="2:11">
      <c r="B37" s="295" t="s">
        <v>825</v>
      </c>
      <c r="C37" s="295">
        <v>1</v>
      </c>
      <c r="D37" s="295">
        <v>9</v>
      </c>
      <c r="E37" s="295">
        <v>22</v>
      </c>
      <c r="F37" s="295">
        <v>8</v>
      </c>
      <c r="G37" s="295">
        <f t="shared" ref="G37:G43" si="0">C37*D37*E37*F37</f>
        <v>1584</v>
      </c>
      <c r="H37" s="295">
        <v>23</v>
      </c>
      <c r="I37" s="301">
        <f t="shared" ref="I37:I43" si="1">G37*H37</f>
        <v>36432</v>
      </c>
      <c r="K37" s="291">
        <v>73.86</v>
      </c>
    </row>
    <row r="38" spans="2:11">
      <c r="B38" s="295" t="s">
        <v>813</v>
      </c>
      <c r="C38" s="295">
        <v>3</v>
      </c>
      <c r="D38" s="295">
        <v>3</v>
      </c>
      <c r="E38" s="295">
        <v>22</v>
      </c>
      <c r="F38" s="295">
        <v>8</v>
      </c>
      <c r="G38" s="295">
        <f t="shared" si="0"/>
        <v>1584</v>
      </c>
      <c r="H38" s="295">
        <v>15</v>
      </c>
      <c r="I38" s="296">
        <f t="shared" si="1"/>
        <v>23760</v>
      </c>
    </row>
    <row r="39" spans="2:11">
      <c r="B39" s="295" t="s">
        <v>826</v>
      </c>
      <c r="C39" s="295">
        <v>1</v>
      </c>
      <c r="D39" s="295">
        <v>3</v>
      </c>
      <c r="E39" s="295">
        <v>22</v>
      </c>
      <c r="F39" s="295">
        <v>8</v>
      </c>
      <c r="G39" s="295">
        <f t="shared" si="0"/>
        <v>528</v>
      </c>
      <c r="H39" s="295">
        <v>14</v>
      </c>
      <c r="I39" s="301">
        <f t="shared" si="1"/>
        <v>7392</v>
      </c>
      <c r="K39" s="291">
        <v>73.86</v>
      </c>
    </row>
    <row r="40" spans="2:11">
      <c r="B40" s="295" t="s">
        <v>827</v>
      </c>
      <c r="C40" s="295">
        <v>2</v>
      </c>
      <c r="D40" s="295">
        <v>2</v>
      </c>
      <c r="E40" s="295">
        <v>22</v>
      </c>
      <c r="F40" s="295">
        <v>8</v>
      </c>
      <c r="G40" s="295">
        <f t="shared" si="0"/>
        <v>704</v>
      </c>
      <c r="H40" s="295">
        <v>15</v>
      </c>
      <c r="I40" s="301">
        <f t="shared" si="1"/>
        <v>10560</v>
      </c>
      <c r="K40" s="291">
        <v>48.3</v>
      </c>
    </row>
    <row r="41" spans="2:11">
      <c r="B41" s="295" t="s">
        <v>828</v>
      </c>
      <c r="C41" s="295">
        <v>2</v>
      </c>
      <c r="D41" s="295">
        <v>3</v>
      </c>
      <c r="E41" s="295">
        <v>22</v>
      </c>
      <c r="F41" s="295">
        <v>8</v>
      </c>
      <c r="G41" s="295">
        <f t="shared" si="0"/>
        <v>1056</v>
      </c>
      <c r="H41" s="295">
        <v>18</v>
      </c>
      <c r="I41" s="301">
        <f t="shared" si="1"/>
        <v>19008</v>
      </c>
      <c r="K41" s="291">
        <v>56.82</v>
      </c>
    </row>
    <row r="42" spans="2:11">
      <c r="B42" s="295" t="s">
        <v>814</v>
      </c>
      <c r="C42" s="295">
        <v>4</v>
      </c>
      <c r="D42" s="295">
        <v>3</v>
      </c>
      <c r="E42" s="295">
        <v>22</v>
      </c>
      <c r="F42" s="295">
        <v>8</v>
      </c>
      <c r="G42" s="295">
        <f t="shared" si="0"/>
        <v>2112</v>
      </c>
      <c r="H42" s="295">
        <v>18</v>
      </c>
      <c r="I42" s="296">
        <f t="shared" si="1"/>
        <v>38016</v>
      </c>
    </row>
    <row r="43" spans="2:11">
      <c r="B43" s="295" t="s">
        <v>815</v>
      </c>
      <c r="C43" s="295">
        <v>2</v>
      </c>
      <c r="D43" s="295">
        <v>2</v>
      </c>
      <c r="E43" s="295">
        <v>22</v>
      </c>
      <c r="F43" s="295">
        <v>8</v>
      </c>
      <c r="G43" s="295">
        <f t="shared" si="0"/>
        <v>704</v>
      </c>
      <c r="H43" s="295">
        <v>14</v>
      </c>
      <c r="I43" s="296">
        <f t="shared" si="1"/>
        <v>9856</v>
      </c>
    </row>
    <row r="44" spans="2:11">
      <c r="B44" s="297" t="s">
        <v>816</v>
      </c>
      <c r="C44" s="295"/>
      <c r="D44" s="295"/>
      <c r="E44" s="295"/>
      <c r="F44" s="295"/>
      <c r="G44" s="295">
        <f>SUM(G37:G41)</f>
        <v>5456</v>
      </c>
      <c r="H44" s="295"/>
      <c r="I44" s="302">
        <f>SUM(I37:I43)</f>
        <v>145024</v>
      </c>
      <c r="K44" s="291">
        <v>45.45</v>
      </c>
    </row>
    <row r="45" spans="2:11">
      <c r="B45" s="295" t="s">
        <v>817</v>
      </c>
      <c r="C45" s="300">
        <f>10%*Terceriza</f>
        <v>0</v>
      </c>
      <c r="D45" s="295"/>
      <c r="E45" s="295"/>
      <c r="F45" s="295"/>
      <c r="G45" s="295"/>
      <c r="H45" s="295"/>
      <c r="I45" s="296">
        <f>I44*C45</f>
        <v>0</v>
      </c>
    </row>
    <row r="46" spans="2:11">
      <c r="B46" s="295" t="s">
        <v>818</v>
      </c>
      <c r="C46" s="300">
        <f>25%*Terceriza</f>
        <v>0</v>
      </c>
      <c r="D46" s="295"/>
      <c r="E46" s="295"/>
      <c r="F46" s="295"/>
      <c r="G46" s="295"/>
      <c r="H46" s="295"/>
      <c r="I46" s="296">
        <f>I44*C46</f>
        <v>0</v>
      </c>
    </row>
    <row r="47" spans="2:11">
      <c r="B47" s="295" t="s">
        <v>829</v>
      </c>
      <c r="C47" s="295"/>
      <c r="D47" s="295"/>
      <c r="E47" s="295"/>
      <c r="F47" s="295"/>
      <c r="G47" s="295"/>
      <c r="H47" s="295"/>
      <c r="I47" s="296">
        <f>SUM(I44:I46)</f>
        <v>145024</v>
      </c>
    </row>
    <row r="48" spans="2:11">
      <c r="B48" s="295" t="s">
        <v>820</v>
      </c>
      <c r="C48" s="300">
        <f>18%*Terceriza</f>
        <v>0</v>
      </c>
      <c r="D48" s="295"/>
      <c r="E48" s="295"/>
      <c r="F48" s="295"/>
      <c r="G48" s="295"/>
      <c r="H48" s="295"/>
      <c r="I48" s="296">
        <f>I47*C48</f>
        <v>0</v>
      </c>
    </row>
    <row r="49" spans="2:11">
      <c r="B49" s="1005" t="s">
        <v>821</v>
      </c>
      <c r="C49" s="1005"/>
      <c r="D49" s="1005"/>
      <c r="E49" s="1005"/>
      <c r="F49" s="1005"/>
      <c r="G49" s="1005"/>
      <c r="H49" s="1005"/>
      <c r="I49" s="302">
        <f>SUM(I47:I48)</f>
        <v>145024</v>
      </c>
    </row>
    <row r="50" spans="2:11" s="299" customFormat="1">
      <c r="B50" s="779"/>
      <c r="C50" s="779"/>
      <c r="D50" s="779"/>
      <c r="E50" s="779"/>
      <c r="F50" s="779"/>
      <c r="G50" s="779"/>
      <c r="H50" s="779"/>
      <c r="I50" s="303"/>
    </row>
    <row r="51" spans="2:11" s="299" customFormat="1">
      <c r="B51" s="779"/>
      <c r="C51" s="779"/>
      <c r="D51" s="779"/>
      <c r="E51" s="779"/>
      <c r="F51" s="779"/>
      <c r="G51" s="779"/>
      <c r="H51" s="779"/>
      <c r="I51" s="303"/>
    </row>
    <row r="52" spans="2:11">
      <c r="B52" s="1004" t="s">
        <v>830</v>
      </c>
      <c r="C52" s="1004"/>
      <c r="D52" s="1004"/>
      <c r="E52" s="1004"/>
      <c r="F52" s="1004"/>
      <c r="G52" s="1004"/>
      <c r="H52" s="1004"/>
      <c r="I52" s="1004"/>
    </row>
    <row r="53" spans="2:11">
      <c r="B53" s="291" t="s">
        <v>831</v>
      </c>
    </row>
    <row r="54" spans="2:11" ht="28.9">
      <c r="B54" s="292" t="s">
        <v>803</v>
      </c>
      <c r="C54" s="293" t="s">
        <v>804</v>
      </c>
      <c r="D54" s="293" t="s">
        <v>805</v>
      </c>
      <c r="E54" s="293" t="s">
        <v>806</v>
      </c>
      <c r="F54" s="293" t="s">
        <v>807</v>
      </c>
      <c r="G54" s="293" t="s">
        <v>808</v>
      </c>
      <c r="H54" s="293" t="s">
        <v>809</v>
      </c>
      <c r="I54" s="293" t="s">
        <v>810</v>
      </c>
      <c r="K54" s="294" t="s">
        <v>811</v>
      </c>
    </row>
    <row r="55" spans="2:11">
      <c r="B55" s="295" t="s">
        <v>832</v>
      </c>
      <c r="C55" s="295">
        <v>1</v>
      </c>
      <c r="D55" s="295">
        <v>19</v>
      </c>
      <c r="E55" s="295">
        <v>22</v>
      </c>
      <c r="F55" s="295">
        <v>8</v>
      </c>
      <c r="G55" s="295">
        <f t="shared" ref="G55:G61" si="2">C55*D55*E55*F55</f>
        <v>3344</v>
      </c>
      <c r="H55" s="295">
        <v>35</v>
      </c>
      <c r="I55" s="296">
        <f t="shared" ref="I55:I61" si="3">G55*H55</f>
        <v>117040</v>
      </c>
      <c r="K55" s="291">
        <v>73.86</v>
      </c>
    </row>
    <row r="56" spans="2:11">
      <c r="B56" s="295" t="s">
        <v>812</v>
      </c>
      <c r="C56" s="295">
        <v>2</v>
      </c>
      <c r="D56" s="295">
        <v>19</v>
      </c>
      <c r="E56" s="295">
        <v>22</v>
      </c>
      <c r="F56" s="295">
        <v>8</v>
      </c>
      <c r="G56" s="295">
        <f t="shared" si="2"/>
        <v>6688</v>
      </c>
      <c r="H56" s="295">
        <v>23</v>
      </c>
      <c r="I56" s="296">
        <f t="shared" si="3"/>
        <v>153824</v>
      </c>
      <c r="K56" s="291">
        <v>56.82</v>
      </c>
    </row>
    <row r="57" spans="2:11">
      <c r="B57" s="295" t="s">
        <v>826</v>
      </c>
      <c r="C57" s="295">
        <v>6</v>
      </c>
      <c r="D57" s="295">
        <v>5</v>
      </c>
      <c r="E57" s="295">
        <v>22</v>
      </c>
      <c r="F57" s="295">
        <v>8</v>
      </c>
      <c r="G57" s="295">
        <f t="shared" si="2"/>
        <v>5280</v>
      </c>
      <c r="H57" s="295">
        <v>14</v>
      </c>
      <c r="I57" s="301">
        <f t="shared" si="3"/>
        <v>73920</v>
      </c>
    </row>
    <row r="58" spans="2:11">
      <c r="B58" s="295" t="s">
        <v>833</v>
      </c>
      <c r="C58" s="295">
        <v>9</v>
      </c>
      <c r="D58" s="295">
        <v>5</v>
      </c>
      <c r="E58" s="295">
        <v>22</v>
      </c>
      <c r="F58" s="295">
        <v>8</v>
      </c>
      <c r="G58" s="295">
        <f t="shared" si="2"/>
        <v>7920</v>
      </c>
      <c r="H58" s="295">
        <v>15</v>
      </c>
      <c r="I58" s="296">
        <f t="shared" si="3"/>
        <v>118800</v>
      </c>
      <c r="K58" s="291">
        <v>45.45</v>
      </c>
    </row>
    <row r="59" spans="2:11">
      <c r="B59" s="295" t="s">
        <v>834</v>
      </c>
      <c r="C59" s="295">
        <v>10</v>
      </c>
      <c r="D59" s="295">
        <v>6</v>
      </c>
      <c r="E59" s="295">
        <v>22</v>
      </c>
      <c r="F59" s="295">
        <v>8</v>
      </c>
      <c r="G59" s="295">
        <f t="shared" si="2"/>
        <v>10560</v>
      </c>
      <c r="H59" s="295">
        <v>18</v>
      </c>
      <c r="I59" s="296">
        <f t="shared" si="3"/>
        <v>190080</v>
      </c>
    </row>
    <row r="60" spans="2:11">
      <c r="B60" s="295" t="s">
        <v>835</v>
      </c>
      <c r="C60" s="295">
        <v>2</v>
      </c>
      <c r="D60" s="295">
        <v>6</v>
      </c>
      <c r="E60" s="295">
        <v>22</v>
      </c>
      <c r="F60" s="295">
        <v>8</v>
      </c>
      <c r="G60" s="295">
        <f t="shared" si="2"/>
        <v>2112</v>
      </c>
      <c r="H60" s="295">
        <v>15</v>
      </c>
      <c r="I60" s="296">
        <f t="shared" si="3"/>
        <v>31680</v>
      </c>
    </row>
    <row r="61" spans="2:11">
      <c r="B61" s="295" t="s">
        <v>836</v>
      </c>
      <c r="C61" s="295">
        <v>12</v>
      </c>
      <c r="D61" s="295">
        <v>6</v>
      </c>
      <c r="E61" s="295">
        <v>22</v>
      </c>
      <c r="F61" s="295">
        <v>8</v>
      </c>
      <c r="G61" s="295">
        <f t="shared" si="2"/>
        <v>12672</v>
      </c>
      <c r="H61" s="295">
        <v>14</v>
      </c>
      <c r="I61" s="296">
        <f t="shared" si="3"/>
        <v>177408</v>
      </c>
    </row>
    <row r="62" spans="2:11">
      <c r="B62" s="297" t="s">
        <v>816</v>
      </c>
      <c r="C62" s="295"/>
      <c r="D62" s="295"/>
      <c r="E62" s="295"/>
      <c r="F62" s="295"/>
      <c r="G62" s="295">
        <f>SUM(G55:G61)</f>
        <v>48576</v>
      </c>
      <c r="H62" s="295"/>
      <c r="I62" s="298">
        <f>SUM(I55:I61)</f>
        <v>862752</v>
      </c>
    </row>
    <row r="63" spans="2:11">
      <c r="B63" s="295" t="s">
        <v>817</v>
      </c>
      <c r="C63" s="300">
        <f>10%*Terceriza</f>
        <v>0</v>
      </c>
      <c r="D63" s="295"/>
      <c r="E63" s="295"/>
      <c r="F63" s="295"/>
      <c r="G63" s="295"/>
      <c r="H63" s="295"/>
      <c r="I63" s="296">
        <f>I62*C63</f>
        <v>0</v>
      </c>
    </row>
    <row r="64" spans="2:11" s="299" customFormat="1">
      <c r="B64" s="295" t="s">
        <v>818</v>
      </c>
      <c r="C64" s="300">
        <f>25%*Terceriza</f>
        <v>0</v>
      </c>
      <c r="D64" s="295"/>
      <c r="E64" s="295"/>
      <c r="F64" s="295"/>
      <c r="G64" s="295"/>
      <c r="H64" s="295"/>
      <c r="I64" s="296">
        <f>I62*C64</f>
        <v>0</v>
      </c>
    </row>
    <row r="65" spans="2:11" s="299" customFormat="1">
      <c r="B65" s="295" t="s">
        <v>819</v>
      </c>
      <c r="C65" s="295"/>
      <c r="D65" s="295"/>
      <c r="E65" s="295"/>
      <c r="F65" s="295"/>
      <c r="G65" s="295"/>
      <c r="H65" s="295"/>
      <c r="I65" s="296">
        <f>SUM(I62:I64)</f>
        <v>862752</v>
      </c>
    </row>
    <row r="66" spans="2:11" s="299" customFormat="1">
      <c r="B66" s="295" t="s">
        <v>820</v>
      </c>
      <c r="C66" s="300">
        <f>18%*Terceriza</f>
        <v>0</v>
      </c>
      <c r="D66" s="295"/>
      <c r="E66" s="295"/>
      <c r="F66" s="295"/>
      <c r="G66" s="295"/>
      <c r="H66" s="295"/>
      <c r="I66" s="296">
        <f>I65*C66</f>
        <v>0</v>
      </c>
    </row>
    <row r="67" spans="2:11">
      <c r="B67" s="1001" t="s">
        <v>821</v>
      </c>
      <c r="C67" s="1002"/>
      <c r="D67" s="1002"/>
      <c r="E67" s="1002"/>
      <c r="F67" s="1002"/>
      <c r="G67" s="1002"/>
      <c r="H67" s="1003"/>
      <c r="I67" s="298">
        <f>SUM(I65:I66)</f>
        <v>862752</v>
      </c>
    </row>
    <row r="70" spans="2:11">
      <c r="B70" s="1004" t="s">
        <v>837</v>
      </c>
      <c r="C70" s="1004"/>
      <c r="D70" s="1004"/>
      <c r="E70" s="1004"/>
      <c r="F70" s="1004"/>
      <c r="G70" s="1004"/>
      <c r="H70" s="1004"/>
      <c r="I70" s="1004"/>
    </row>
    <row r="71" spans="2:11">
      <c r="B71" s="291" t="s">
        <v>838</v>
      </c>
    </row>
    <row r="72" spans="2:11" ht="28.9">
      <c r="B72" s="292" t="s">
        <v>803</v>
      </c>
      <c r="C72" s="293" t="s">
        <v>804</v>
      </c>
      <c r="D72" s="293" t="s">
        <v>805</v>
      </c>
      <c r="E72" s="293" t="s">
        <v>806</v>
      </c>
      <c r="F72" s="293" t="s">
        <v>807</v>
      </c>
      <c r="G72" s="293" t="s">
        <v>808</v>
      </c>
      <c r="H72" s="293" t="s">
        <v>809</v>
      </c>
      <c r="I72" s="293" t="s">
        <v>810</v>
      </c>
      <c r="K72" s="294" t="s">
        <v>811</v>
      </c>
    </row>
    <row r="73" spans="2:11">
      <c r="B73" s="295" t="s">
        <v>812</v>
      </c>
      <c r="C73" s="295">
        <v>1</v>
      </c>
      <c r="D73" s="295">
        <v>8</v>
      </c>
      <c r="E73" s="295">
        <v>22</v>
      </c>
      <c r="F73" s="295">
        <v>8</v>
      </c>
      <c r="G73" s="295">
        <f>C73*D73*E73*F73</f>
        <v>1408</v>
      </c>
      <c r="H73" s="295">
        <v>23</v>
      </c>
      <c r="I73" s="296">
        <f>G73*H73</f>
        <v>32384</v>
      </c>
      <c r="K73" s="291">
        <v>73.86</v>
      </c>
    </row>
    <row r="74" spans="2:11">
      <c r="B74" s="295" t="s">
        <v>826</v>
      </c>
      <c r="C74" s="295">
        <v>1</v>
      </c>
      <c r="D74" s="295">
        <v>3</v>
      </c>
      <c r="E74" s="295">
        <v>22</v>
      </c>
      <c r="F74" s="295">
        <v>8</v>
      </c>
      <c r="G74" s="295">
        <f>C74*D74*E74*F74</f>
        <v>528</v>
      </c>
      <c r="H74" s="295">
        <v>14</v>
      </c>
      <c r="I74" s="301">
        <f>G74*H74</f>
        <v>7392</v>
      </c>
    </row>
    <row r="75" spans="2:11">
      <c r="B75" s="295" t="s">
        <v>813</v>
      </c>
      <c r="C75" s="295">
        <v>2</v>
      </c>
      <c r="D75" s="295">
        <v>3</v>
      </c>
      <c r="E75" s="295">
        <v>22</v>
      </c>
      <c r="F75" s="295">
        <v>8</v>
      </c>
      <c r="G75" s="295">
        <f>C75*D75*E75*F75</f>
        <v>1056</v>
      </c>
      <c r="H75" s="295">
        <v>15</v>
      </c>
      <c r="I75" s="296">
        <f>G75*H75</f>
        <v>15840</v>
      </c>
      <c r="K75" s="291">
        <v>48.3</v>
      </c>
    </row>
    <row r="76" spans="2:11">
      <c r="B76" s="295" t="s">
        <v>814</v>
      </c>
      <c r="C76" s="295">
        <v>3</v>
      </c>
      <c r="D76" s="295">
        <v>3</v>
      </c>
      <c r="E76" s="295">
        <v>22</v>
      </c>
      <c r="F76" s="295">
        <v>8</v>
      </c>
      <c r="G76" s="295">
        <f>C76*D76*E76*F76</f>
        <v>1584</v>
      </c>
      <c r="H76" s="295">
        <v>18</v>
      </c>
      <c r="I76" s="296">
        <f>G76*H76</f>
        <v>28512</v>
      </c>
      <c r="K76" s="291">
        <v>56.82</v>
      </c>
    </row>
    <row r="77" spans="2:11">
      <c r="B77" s="295" t="s">
        <v>815</v>
      </c>
      <c r="C77" s="295">
        <v>1</v>
      </c>
      <c r="D77" s="295">
        <v>2</v>
      </c>
      <c r="E77" s="295">
        <v>22</v>
      </c>
      <c r="F77" s="295">
        <v>8</v>
      </c>
      <c r="G77" s="295">
        <f>C77*D77*E77*F77</f>
        <v>352</v>
      </c>
      <c r="H77" s="295">
        <v>14</v>
      </c>
      <c r="I77" s="296">
        <f>G77*H77</f>
        <v>4928</v>
      </c>
      <c r="K77" s="291">
        <v>45.45</v>
      </c>
    </row>
    <row r="78" spans="2:11">
      <c r="B78" s="297" t="s">
        <v>816</v>
      </c>
      <c r="C78" s="295"/>
      <c r="D78" s="295"/>
      <c r="E78" s="295"/>
      <c r="F78" s="295"/>
      <c r="G78" s="295">
        <f>SUM(G73:G77)</f>
        <v>4928</v>
      </c>
      <c r="H78" s="295"/>
      <c r="I78" s="298">
        <f>SUM(I73:I77)</f>
        <v>89056</v>
      </c>
    </row>
    <row r="79" spans="2:11">
      <c r="B79" s="295" t="s">
        <v>817</v>
      </c>
      <c r="C79" s="300">
        <f>10%*Terceriza</f>
        <v>0</v>
      </c>
      <c r="D79" s="295"/>
      <c r="E79" s="295"/>
      <c r="F79" s="295"/>
      <c r="G79" s="295"/>
      <c r="H79" s="295"/>
      <c r="I79" s="296">
        <f>I78*C79</f>
        <v>0</v>
      </c>
    </row>
    <row r="80" spans="2:11">
      <c r="B80" s="295" t="s">
        <v>818</v>
      </c>
      <c r="C80" s="300">
        <f>25%*Terceriza</f>
        <v>0</v>
      </c>
      <c r="D80" s="295"/>
      <c r="E80" s="295"/>
      <c r="F80" s="295"/>
      <c r="G80" s="295"/>
      <c r="H80" s="295"/>
      <c r="I80" s="296">
        <f>I78*C80</f>
        <v>0</v>
      </c>
    </row>
    <row r="81" spans="2:11">
      <c r="B81" s="295" t="s">
        <v>819</v>
      </c>
      <c r="C81" s="295"/>
      <c r="D81" s="295"/>
      <c r="E81" s="295"/>
      <c r="F81" s="295"/>
      <c r="G81" s="295"/>
      <c r="H81" s="295"/>
      <c r="I81" s="296">
        <f>SUM(I78:I80)</f>
        <v>89056</v>
      </c>
    </row>
    <row r="82" spans="2:11">
      <c r="B82" s="295" t="s">
        <v>820</v>
      </c>
      <c r="C82" s="300">
        <f>18%*Terceriza</f>
        <v>0</v>
      </c>
      <c r="D82" s="295"/>
      <c r="E82" s="295"/>
      <c r="F82" s="295"/>
      <c r="G82" s="295"/>
      <c r="H82" s="295"/>
      <c r="I82" s="296">
        <f>I81*C82</f>
        <v>0</v>
      </c>
    </row>
    <row r="83" spans="2:11" s="299" customFormat="1">
      <c r="B83" s="1001" t="s">
        <v>821</v>
      </c>
      <c r="C83" s="1002"/>
      <c r="D83" s="1002"/>
      <c r="E83" s="1002"/>
      <c r="F83" s="1002"/>
      <c r="G83" s="1002"/>
      <c r="H83" s="1003"/>
      <c r="I83" s="298">
        <f>SUM(I81:I82)</f>
        <v>89056</v>
      </c>
    </row>
    <row r="84" spans="2:11" s="299" customFormat="1">
      <c r="B84" s="779"/>
      <c r="C84" s="779"/>
      <c r="D84" s="779"/>
      <c r="E84" s="779"/>
      <c r="F84" s="779"/>
      <c r="G84" s="779"/>
      <c r="H84" s="779"/>
      <c r="I84" s="303"/>
    </row>
    <row r="85" spans="2:11" s="299" customFormat="1">
      <c r="B85" s="779"/>
      <c r="C85" s="779"/>
      <c r="D85" s="779"/>
      <c r="E85" s="779"/>
      <c r="F85" s="779"/>
      <c r="G85" s="779"/>
      <c r="H85" s="779"/>
      <c r="I85" s="303"/>
    </row>
    <row r="86" spans="2:11">
      <c r="B86" s="1004" t="s">
        <v>839</v>
      </c>
      <c r="C86" s="1004"/>
      <c r="D86" s="1004"/>
      <c r="E86" s="1004"/>
      <c r="F86" s="1004"/>
      <c r="G86" s="1004"/>
      <c r="H86" s="1004"/>
      <c r="I86" s="1004"/>
    </row>
    <row r="87" spans="2:11">
      <c r="B87" s="291" t="s">
        <v>840</v>
      </c>
    </row>
    <row r="88" spans="2:11" ht="28.9">
      <c r="B88" s="292" t="s">
        <v>803</v>
      </c>
      <c r="C88" s="293" t="s">
        <v>804</v>
      </c>
      <c r="D88" s="293" t="s">
        <v>805</v>
      </c>
      <c r="E88" s="293" t="s">
        <v>841</v>
      </c>
      <c r="F88" s="293" t="s">
        <v>807</v>
      </c>
      <c r="G88" s="293" t="s">
        <v>808</v>
      </c>
      <c r="H88" s="293" t="s">
        <v>809</v>
      </c>
      <c r="I88" s="293" t="s">
        <v>810</v>
      </c>
      <c r="K88" s="294" t="s">
        <v>811</v>
      </c>
    </row>
    <row r="89" spans="2:11">
      <c r="B89" s="295" t="s">
        <v>812</v>
      </c>
      <c r="C89" s="295">
        <v>1</v>
      </c>
      <c r="D89" s="295">
        <v>7</v>
      </c>
      <c r="E89" s="295">
        <v>22</v>
      </c>
      <c r="F89" s="295">
        <v>8</v>
      </c>
      <c r="G89" s="295">
        <f>C89*D89*E89*F89</f>
        <v>1232</v>
      </c>
      <c r="H89" s="295">
        <v>23</v>
      </c>
      <c r="I89" s="296">
        <f>G89*H89</f>
        <v>28336</v>
      </c>
      <c r="K89" s="294"/>
    </row>
    <row r="90" spans="2:11">
      <c r="B90" s="295" t="s">
        <v>813</v>
      </c>
      <c r="C90" s="295">
        <v>2</v>
      </c>
      <c r="D90" s="295">
        <v>2</v>
      </c>
      <c r="E90" s="295">
        <v>22</v>
      </c>
      <c r="F90" s="295">
        <v>8</v>
      </c>
      <c r="G90" s="295">
        <f>C90*D90*E90*F90</f>
        <v>704</v>
      </c>
      <c r="H90" s="295">
        <v>15</v>
      </c>
      <c r="I90" s="296">
        <f>G90*H90</f>
        <v>10560</v>
      </c>
      <c r="K90" s="291">
        <v>113.64</v>
      </c>
    </row>
    <row r="91" spans="2:11">
      <c r="B91" s="295" t="s">
        <v>814</v>
      </c>
      <c r="C91" s="295">
        <v>3</v>
      </c>
      <c r="D91" s="295">
        <v>3</v>
      </c>
      <c r="E91" s="295">
        <v>22</v>
      </c>
      <c r="F91" s="295">
        <v>8</v>
      </c>
      <c r="G91" s="295">
        <f>C91*D91*E91*F91</f>
        <v>1584</v>
      </c>
      <c r="H91" s="295">
        <v>18</v>
      </c>
      <c r="I91" s="296">
        <f>G91*H91</f>
        <v>28512</v>
      </c>
      <c r="K91" s="291">
        <v>73.86</v>
      </c>
    </row>
    <row r="92" spans="2:11">
      <c r="B92" s="295" t="s">
        <v>815</v>
      </c>
      <c r="C92" s="295">
        <v>1</v>
      </c>
      <c r="D92" s="295">
        <v>2</v>
      </c>
      <c r="E92" s="295">
        <v>22</v>
      </c>
      <c r="F92" s="295">
        <v>8</v>
      </c>
      <c r="G92" s="295">
        <f>C92*D92*E92*F92</f>
        <v>352</v>
      </c>
      <c r="H92" s="295">
        <v>14</v>
      </c>
      <c r="I92" s="296">
        <f>G92*H92</f>
        <v>4928</v>
      </c>
      <c r="K92" s="291">
        <v>45.45</v>
      </c>
    </row>
    <row r="93" spans="2:11">
      <c r="B93" s="297" t="s">
        <v>816</v>
      </c>
      <c r="C93" s="295"/>
      <c r="D93" s="295"/>
      <c r="E93" s="295"/>
      <c r="F93" s="295"/>
      <c r="G93" s="295">
        <f>SUM(G90:G92)</f>
        <v>2640</v>
      </c>
      <c r="H93" s="295"/>
      <c r="I93" s="302">
        <f>SUM(I89:I92)</f>
        <v>72336</v>
      </c>
    </row>
    <row r="94" spans="2:11">
      <c r="B94" s="295" t="s">
        <v>817</v>
      </c>
      <c r="C94" s="300">
        <f>10%*Terceriza</f>
        <v>0</v>
      </c>
      <c r="D94" s="295"/>
      <c r="E94" s="295"/>
      <c r="F94" s="295"/>
      <c r="G94" s="295"/>
      <c r="H94" s="295"/>
      <c r="I94" s="296">
        <f>I93*C94</f>
        <v>0</v>
      </c>
    </row>
    <row r="95" spans="2:11">
      <c r="B95" s="295" t="s">
        <v>818</v>
      </c>
      <c r="C95" s="300">
        <f>25%*Terceriza</f>
        <v>0</v>
      </c>
      <c r="D95" s="295"/>
      <c r="E95" s="295"/>
      <c r="F95" s="295"/>
      <c r="G95" s="295"/>
      <c r="H95" s="295"/>
      <c r="I95" s="296">
        <f>I93*C95</f>
        <v>0</v>
      </c>
    </row>
    <row r="96" spans="2:11">
      <c r="B96" s="295" t="s">
        <v>829</v>
      </c>
      <c r="C96" s="295"/>
      <c r="D96" s="295"/>
      <c r="E96" s="295"/>
      <c r="F96" s="295"/>
      <c r="G96" s="295"/>
      <c r="H96" s="295"/>
      <c r="I96" s="296">
        <f>SUM(I93:I95)</f>
        <v>72336</v>
      </c>
    </row>
    <row r="97" spans="2:11">
      <c r="B97" s="295" t="s">
        <v>820</v>
      </c>
      <c r="C97" s="300">
        <f>18%*Terceriza</f>
        <v>0</v>
      </c>
      <c r="D97" s="295"/>
      <c r="E97" s="295"/>
      <c r="F97" s="295"/>
      <c r="G97" s="295"/>
      <c r="H97" s="295"/>
      <c r="I97" s="296">
        <f>I96*C97</f>
        <v>0</v>
      </c>
    </row>
    <row r="98" spans="2:11" s="299" customFormat="1">
      <c r="B98" s="1005" t="s">
        <v>821</v>
      </c>
      <c r="C98" s="1005"/>
      <c r="D98" s="1005"/>
      <c r="E98" s="1005"/>
      <c r="F98" s="1005"/>
      <c r="G98" s="1005"/>
      <c r="H98" s="1005"/>
      <c r="I98" s="298">
        <f>SUM(I96:I97)</f>
        <v>72336</v>
      </c>
    </row>
    <row r="99" spans="2:11" s="299" customFormat="1">
      <c r="B99" s="779"/>
      <c r="C99" s="779"/>
      <c r="D99" s="779"/>
      <c r="E99" s="779"/>
      <c r="F99" s="779"/>
      <c r="G99" s="779"/>
      <c r="H99" s="779"/>
      <c r="I99" s="304"/>
    </row>
    <row r="100" spans="2:11" s="299" customFormat="1">
      <c r="B100" s="779"/>
      <c r="C100" s="779"/>
      <c r="D100" s="779"/>
      <c r="E100" s="779"/>
      <c r="F100" s="779"/>
      <c r="G100" s="779"/>
      <c r="H100" s="779"/>
      <c r="I100" s="304"/>
    </row>
    <row r="102" spans="2:11" ht="34.5" customHeight="1">
      <c r="B102" s="1008" t="s">
        <v>842</v>
      </c>
      <c r="C102" s="1008"/>
      <c r="D102" s="1008"/>
      <c r="E102" s="1008"/>
      <c r="F102" s="1008"/>
      <c r="G102" s="1008"/>
      <c r="H102" s="1008"/>
      <c r="I102" s="1008"/>
    </row>
    <row r="103" spans="2:11">
      <c r="B103" s="291" t="s">
        <v>843</v>
      </c>
    </row>
    <row r="104" spans="2:11" ht="28.9">
      <c r="B104" s="292" t="s">
        <v>803</v>
      </c>
      <c r="C104" s="293" t="s">
        <v>804</v>
      </c>
      <c r="D104" s="293" t="s">
        <v>805</v>
      </c>
      <c r="E104" s="293" t="s">
        <v>806</v>
      </c>
      <c r="F104" s="293" t="s">
        <v>807</v>
      </c>
      <c r="G104" s="293" t="s">
        <v>808</v>
      </c>
      <c r="H104" s="293" t="s">
        <v>809</v>
      </c>
      <c r="I104" s="293" t="s">
        <v>810</v>
      </c>
      <c r="K104" s="294" t="s">
        <v>811</v>
      </c>
    </row>
    <row r="105" spans="2:11">
      <c r="B105" s="295" t="s">
        <v>812</v>
      </c>
      <c r="C105" s="295">
        <v>1</v>
      </c>
      <c r="D105" s="295">
        <v>8</v>
      </c>
      <c r="E105" s="295">
        <v>22</v>
      </c>
      <c r="F105" s="295">
        <v>8</v>
      </c>
      <c r="G105" s="295">
        <f>C105*D105*E105*F105</f>
        <v>1408</v>
      </c>
      <c r="H105" s="295">
        <v>23</v>
      </c>
      <c r="I105" s="296">
        <f>G105*H105</f>
        <v>32384</v>
      </c>
      <c r="K105" s="291">
        <v>73.86</v>
      </c>
    </row>
    <row r="106" spans="2:11">
      <c r="B106" s="295" t="s">
        <v>826</v>
      </c>
      <c r="C106" s="295">
        <v>2</v>
      </c>
      <c r="D106" s="295">
        <v>3</v>
      </c>
      <c r="E106" s="295">
        <v>22</v>
      </c>
      <c r="F106" s="295">
        <v>8</v>
      </c>
      <c r="G106" s="295">
        <f>C106*D106*E106*F106</f>
        <v>1056</v>
      </c>
      <c r="H106" s="295">
        <v>14</v>
      </c>
      <c r="I106" s="301">
        <f>G106*H106</f>
        <v>14784</v>
      </c>
    </row>
    <row r="107" spans="2:11">
      <c r="B107" s="295" t="s">
        <v>813</v>
      </c>
      <c r="C107" s="295">
        <v>3</v>
      </c>
      <c r="D107" s="295">
        <v>3</v>
      </c>
      <c r="E107" s="295">
        <v>22</v>
      </c>
      <c r="F107" s="295">
        <v>8</v>
      </c>
      <c r="G107" s="295">
        <f>C107*D107*E107*F107</f>
        <v>1584</v>
      </c>
      <c r="H107" s="295">
        <v>15</v>
      </c>
      <c r="I107" s="296">
        <f>G107*H107</f>
        <v>23760</v>
      </c>
      <c r="K107" s="291">
        <v>48.3</v>
      </c>
    </row>
    <row r="108" spans="2:11">
      <c r="B108" s="295" t="s">
        <v>814</v>
      </c>
      <c r="C108" s="295">
        <v>4</v>
      </c>
      <c r="D108" s="295">
        <v>3</v>
      </c>
      <c r="E108" s="295">
        <v>22</v>
      </c>
      <c r="F108" s="295">
        <v>8</v>
      </c>
      <c r="G108" s="295">
        <f>C108*D108*E108*F108</f>
        <v>2112</v>
      </c>
      <c r="H108" s="295">
        <v>18</v>
      </c>
      <c r="I108" s="296">
        <f>G108*H108</f>
        <v>38016</v>
      </c>
      <c r="K108" s="291">
        <v>56.82</v>
      </c>
    </row>
    <row r="109" spans="2:11">
      <c r="B109" s="295" t="s">
        <v>815</v>
      </c>
      <c r="C109" s="295">
        <v>2</v>
      </c>
      <c r="D109" s="295">
        <v>2</v>
      </c>
      <c r="E109" s="295">
        <v>22</v>
      </c>
      <c r="F109" s="295">
        <v>8</v>
      </c>
      <c r="G109" s="295">
        <f>C109*D109*E109*F109</f>
        <v>704</v>
      </c>
      <c r="H109" s="295">
        <v>14</v>
      </c>
      <c r="I109" s="296">
        <f>G109*H109</f>
        <v>9856</v>
      </c>
      <c r="K109" s="291">
        <v>45.45</v>
      </c>
    </row>
    <row r="110" spans="2:11">
      <c r="B110" s="297" t="s">
        <v>816</v>
      </c>
      <c r="C110" s="295"/>
      <c r="D110" s="295"/>
      <c r="E110" s="295"/>
      <c r="F110" s="295"/>
      <c r="G110" s="295">
        <f>SUM(G105:G109)</f>
        <v>6864</v>
      </c>
      <c r="H110" s="295"/>
      <c r="I110" s="298">
        <f>SUM(I105:I109)</f>
        <v>118800</v>
      </c>
    </row>
    <row r="111" spans="2:11">
      <c r="B111" s="295" t="s">
        <v>817</v>
      </c>
      <c r="C111" s="300">
        <f>10%*Terceriza</f>
        <v>0</v>
      </c>
      <c r="D111" s="295"/>
      <c r="E111" s="295"/>
      <c r="F111" s="295"/>
      <c r="G111" s="295"/>
      <c r="H111" s="295"/>
      <c r="I111" s="296">
        <f>I110*C111</f>
        <v>0</v>
      </c>
    </row>
    <row r="112" spans="2:11">
      <c r="B112" s="295" t="s">
        <v>818</v>
      </c>
      <c r="C112" s="300">
        <f>25%*Terceriza</f>
        <v>0</v>
      </c>
      <c r="D112" s="295"/>
      <c r="E112" s="295"/>
      <c r="F112" s="295"/>
      <c r="G112" s="295"/>
      <c r="H112" s="295"/>
      <c r="I112" s="296">
        <f>I110*C112</f>
        <v>0</v>
      </c>
    </row>
    <row r="113" spans="2:11">
      <c r="B113" s="295" t="s">
        <v>819</v>
      </c>
      <c r="C113" s="295"/>
      <c r="D113" s="295"/>
      <c r="E113" s="295"/>
      <c r="F113" s="295"/>
      <c r="G113" s="295"/>
      <c r="H113" s="295"/>
      <c r="I113" s="296">
        <f>SUM(I110:I112)</f>
        <v>118800</v>
      </c>
    </row>
    <row r="114" spans="2:11">
      <c r="B114" s="295" t="s">
        <v>820</v>
      </c>
      <c r="C114" s="300">
        <f>18%*Terceriza</f>
        <v>0</v>
      </c>
      <c r="D114" s="295"/>
      <c r="E114" s="295"/>
      <c r="F114" s="295"/>
      <c r="G114" s="295"/>
      <c r="H114" s="295"/>
      <c r="I114" s="296">
        <f>I113*C114</f>
        <v>0</v>
      </c>
    </row>
    <row r="115" spans="2:11" s="299" customFormat="1">
      <c r="B115" s="1001" t="s">
        <v>821</v>
      </c>
      <c r="C115" s="1002"/>
      <c r="D115" s="1002"/>
      <c r="E115" s="1002"/>
      <c r="F115" s="1002"/>
      <c r="G115" s="1002"/>
      <c r="H115" s="1003"/>
      <c r="I115" s="298">
        <f>SUM(I113:I114)</f>
        <v>118800</v>
      </c>
    </row>
    <row r="116" spans="2:11" s="299" customFormat="1">
      <c r="B116" s="779" t="s">
        <v>844</v>
      </c>
      <c r="C116" s="779">
        <v>4</v>
      </c>
      <c r="D116" s="779"/>
      <c r="E116" s="779"/>
      <c r="F116" s="779"/>
      <c r="G116" s="779"/>
      <c r="H116" s="779"/>
      <c r="I116" s="303">
        <f>I115*C116</f>
        <v>475200</v>
      </c>
    </row>
    <row r="117" spans="2:11" s="299" customFormat="1">
      <c r="B117" s="779"/>
      <c r="C117" s="779"/>
      <c r="D117" s="779"/>
      <c r="E117" s="779"/>
      <c r="F117" s="779"/>
      <c r="G117" s="779"/>
      <c r="H117" s="779"/>
      <c r="I117" s="303"/>
    </row>
    <row r="118" spans="2:11">
      <c r="B118" s="1010" t="s">
        <v>845</v>
      </c>
      <c r="C118" s="1010"/>
      <c r="D118" s="1010"/>
      <c r="E118" s="1010"/>
      <c r="F118" s="1010"/>
      <c r="G118" s="1010"/>
      <c r="H118" s="1010"/>
      <c r="I118" s="1010"/>
    </row>
    <row r="119" spans="2:11">
      <c r="B119" s="291" t="s">
        <v>846</v>
      </c>
    </row>
    <row r="120" spans="2:11" ht="28.9">
      <c r="B120" s="292" t="s">
        <v>803</v>
      </c>
      <c r="C120" s="293" t="s">
        <v>804</v>
      </c>
      <c r="D120" s="293" t="s">
        <v>805</v>
      </c>
      <c r="E120" s="293" t="s">
        <v>806</v>
      </c>
      <c r="F120" s="293" t="s">
        <v>807</v>
      </c>
      <c r="G120" s="293" t="s">
        <v>808</v>
      </c>
      <c r="H120" s="293" t="s">
        <v>809</v>
      </c>
      <c r="I120" s="293" t="s">
        <v>810</v>
      </c>
      <c r="K120" s="294" t="s">
        <v>811</v>
      </c>
    </row>
    <row r="121" spans="2:11">
      <c r="B121" s="295" t="s">
        <v>812</v>
      </c>
      <c r="C121" s="295">
        <v>1</v>
      </c>
      <c r="D121" s="295">
        <v>9</v>
      </c>
      <c r="E121" s="295">
        <v>22</v>
      </c>
      <c r="F121" s="295">
        <v>8</v>
      </c>
      <c r="G121" s="295">
        <f>C121*D121*E121*F121</f>
        <v>1584</v>
      </c>
      <c r="H121" s="295">
        <v>23</v>
      </c>
      <c r="I121" s="296">
        <f>G121*H121</f>
        <v>36432</v>
      </c>
      <c r="K121" s="294"/>
    </row>
    <row r="122" spans="2:11">
      <c r="B122" s="295" t="s">
        <v>826</v>
      </c>
      <c r="C122" s="295">
        <v>2</v>
      </c>
      <c r="D122" s="295">
        <v>2</v>
      </c>
      <c r="E122" s="295">
        <v>22</v>
      </c>
      <c r="F122" s="295">
        <v>8</v>
      </c>
      <c r="G122" s="295">
        <f>C122*D122*E122*F122</f>
        <v>704</v>
      </c>
      <c r="H122" s="295">
        <v>14</v>
      </c>
      <c r="I122" s="301">
        <f>G122*H122</f>
        <v>9856</v>
      </c>
      <c r="K122" s="291">
        <v>73.86</v>
      </c>
    </row>
    <row r="123" spans="2:11">
      <c r="B123" s="295" t="s">
        <v>813</v>
      </c>
      <c r="C123" s="295">
        <v>3</v>
      </c>
      <c r="D123" s="295">
        <v>2</v>
      </c>
      <c r="E123" s="295">
        <v>22</v>
      </c>
      <c r="F123" s="295">
        <v>8</v>
      </c>
      <c r="G123" s="295">
        <f>C123*D123*E123*F123</f>
        <v>1056</v>
      </c>
      <c r="H123" s="295">
        <v>15</v>
      </c>
      <c r="I123" s="301">
        <f>G123*H123</f>
        <v>15840</v>
      </c>
      <c r="K123" s="291">
        <v>48.3</v>
      </c>
    </row>
    <row r="124" spans="2:11">
      <c r="B124" s="295" t="s">
        <v>814</v>
      </c>
      <c r="C124" s="295">
        <v>4</v>
      </c>
      <c r="D124" s="295">
        <v>4</v>
      </c>
      <c r="E124" s="295">
        <v>22</v>
      </c>
      <c r="F124" s="295">
        <v>8</v>
      </c>
      <c r="G124" s="295">
        <f>C124*D124*E124*F124</f>
        <v>2816</v>
      </c>
      <c r="H124" s="295">
        <v>18</v>
      </c>
      <c r="I124" s="301">
        <f>G124*H124</f>
        <v>50688</v>
      </c>
      <c r="K124" s="291">
        <v>56.82</v>
      </c>
    </row>
    <row r="125" spans="2:11">
      <c r="B125" s="295" t="s">
        <v>815</v>
      </c>
      <c r="C125" s="295">
        <v>2</v>
      </c>
      <c r="D125" s="295">
        <v>3</v>
      </c>
      <c r="E125" s="295">
        <v>22</v>
      </c>
      <c r="F125" s="295">
        <v>8</v>
      </c>
      <c r="G125" s="295">
        <f>C125*D125*E125*F125</f>
        <v>1056</v>
      </c>
      <c r="H125" s="295">
        <v>14</v>
      </c>
      <c r="I125" s="301">
        <f>G125*H125</f>
        <v>14784</v>
      </c>
      <c r="K125" s="291">
        <v>45.45</v>
      </c>
    </row>
    <row r="126" spans="2:11">
      <c r="B126" s="297" t="s">
        <v>816</v>
      </c>
      <c r="C126" s="295"/>
      <c r="D126" s="295"/>
      <c r="E126" s="295"/>
      <c r="F126" s="295"/>
      <c r="G126" s="295">
        <f>SUM(G122:G125)</f>
        <v>5632</v>
      </c>
      <c r="H126" s="295"/>
      <c r="I126" s="302">
        <f>SUM(I121:I125)</f>
        <v>127600</v>
      </c>
    </row>
    <row r="127" spans="2:11">
      <c r="B127" s="295" t="s">
        <v>817</v>
      </c>
      <c r="C127" s="300">
        <f>10%*Terceriza</f>
        <v>0</v>
      </c>
      <c r="D127" s="295"/>
      <c r="E127" s="295"/>
      <c r="F127" s="295"/>
      <c r="G127" s="295"/>
      <c r="H127" s="295"/>
      <c r="I127" s="296">
        <f>I126*C127</f>
        <v>0</v>
      </c>
    </row>
    <row r="128" spans="2:11">
      <c r="B128" s="295" t="s">
        <v>818</v>
      </c>
      <c r="C128" s="300">
        <f>25%*Terceriza</f>
        <v>0</v>
      </c>
      <c r="D128" s="295"/>
      <c r="E128" s="295"/>
      <c r="F128" s="295"/>
      <c r="G128" s="295"/>
      <c r="H128" s="295"/>
      <c r="I128" s="296">
        <f>I126*C128</f>
        <v>0</v>
      </c>
    </row>
    <row r="129" spans="2:11">
      <c r="B129" s="295" t="s">
        <v>829</v>
      </c>
      <c r="C129" s="295"/>
      <c r="D129" s="295"/>
      <c r="E129" s="295"/>
      <c r="F129" s="295"/>
      <c r="G129" s="295"/>
      <c r="H129" s="295"/>
      <c r="I129" s="296">
        <f>SUM(I126:I128)</f>
        <v>127600</v>
      </c>
    </row>
    <row r="130" spans="2:11">
      <c r="B130" s="295" t="s">
        <v>820</v>
      </c>
      <c r="C130" s="300">
        <f>18%*Terceriza</f>
        <v>0</v>
      </c>
      <c r="D130" s="295"/>
      <c r="E130" s="295"/>
      <c r="F130" s="295"/>
      <c r="G130" s="295"/>
      <c r="H130" s="295"/>
      <c r="I130" s="296">
        <f>I129*C130</f>
        <v>0</v>
      </c>
    </row>
    <row r="131" spans="2:11" s="299" customFormat="1">
      <c r="B131" s="1001" t="s">
        <v>821</v>
      </c>
      <c r="C131" s="1002"/>
      <c r="D131" s="1002"/>
      <c r="E131" s="1002"/>
      <c r="F131" s="1002"/>
      <c r="G131" s="1002"/>
      <c r="H131" s="1003"/>
      <c r="I131" s="303">
        <f>SUM(I129:I130)</f>
        <v>127600</v>
      </c>
    </row>
    <row r="132" spans="2:11" s="299" customFormat="1">
      <c r="B132" s="779"/>
      <c r="C132" s="779"/>
      <c r="D132" s="779"/>
      <c r="E132" s="779"/>
      <c r="F132" s="779"/>
      <c r="G132" s="779"/>
      <c r="H132" s="779"/>
      <c r="I132" s="303"/>
    </row>
    <row r="133" spans="2:11" s="299" customFormat="1">
      <c r="B133" s="779"/>
      <c r="C133" s="779"/>
      <c r="D133" s="779"/>
      <c r="E133" s="779"/>
      <c r="F133" s="779"/>
      <c r="G133" s="779"/>
      <c r="H133" s="779"/>
      <c r="I133" s="303"/>
    </row>
    <row r="134" spans="2:11" s="299" customFormat="1" ht="14.25" customHeight="1">
      <c r="B134" s="779"/>
      <c r="C134" s="779"/>
      <c r="D134" s="779"/>
      <c r="E134" s="779"/>
      <c r="F134" s="779"/>
      <c r="G134" s="779"/>
      <c r="H134" s="779"/>
      <c r="I134" s="303"/>
    </row>
    <row r="135" spans="2:11">
      <c r="B135" s="1004" t="s">
        <v>847</v>
      </c>
      <c r="C135" s="1004"/>
      <c r="D135" s="1004"/>
      <c r="E135" s="1004"/>
      <c r="F135" s="1004"/>
      <c r="G135" s="1004"/>
      <c r="H135" s="1004"/>
      <c r="I135" s="1004"/>
    </row>
    <row r="136" spans="2:11">
      <c r="B136" s="291" t="s">
        <v>848</v>
      </c>
    </row>
    <row r="137" spans="2:11" ht="28.9">
      <c r="B137" s="292" t="s">
        <v>803</v>
      </c>
      <c r="C137" s="293" t="s">
        <v>804</v>
      </c>
      <c r="D137" s="293" t="s">
        <v>805</v>
      </c>
      <c r="E137" s="293" t="s">
        <v>806</v>
      </c>
      <c r="F137" s="293" t="s">
        <v>807</v>
      </c>
      <c r="G137" s="293" t="s">
        <v>808</v>
      </c>
      <c r="H137" s="293" t="s">
        <v>809</v>
      </c>
      <c r="I137" s="293" t="s">
        <v>810</v>
      </c>
      <c r="K137" s="294" t="s">
        <v>811</v>
      </c>
    </row>
    <row r="138" spans="2:11">
      <c r="B138" s="295" t="s">
        <v>812</v>
      </c>
      <c r="C138" s="295">
        <v>1</v>
      </c>
      <c r="D138" s="295">
        <v>11</v>
      </c>
      <c r="E138" s="295">
        <v>22</v>
      </c>
      <c r="F138" s="295">
        <v>8</v>
      </c>
      <c r="G138" s="295">
        <f>C138*D138*E138*F138</f>
        <v>1936</v>
      </c>
      <c r="H138" s="295">
        <v>23</v>
      </c>
      <c r="I138" s="296">
        <f>G138*H138</f>
        <v>44528</v>
      </c>
      <c r="K138" s="291">
        <v>113.64</v>
      </c>
    </row>
    <row r="139" spans="2:11">
      <c r="B139" s="295" t="s">
        <v>826</v>
      </c>
      <c r="C139" s="295">
        <v>3</v>
      </c>
      <c r="D139" s="295">
        <v>3</v>
      </c>
      <c r="E139" s="295">
        <v>22</v>
      </c>
      <c r="F139" s="295">
        <v>8</v>
      </c>
      <c r="G139" s="295">
        <f>C139*D139*E139*F139</f>
        <v>1584</v>
      </c>
      <c r="H139" s="295">
        <v>14</v>
      </c>
      <c r="I139" s="301">
        <f>G139*H139</f>
        <v>22176</v>
      </c>
      <c r="K139" s="291">
        <v>73.86</v>
      </c>
    </row>
    <row r="140" spans="2:11">
      <c r="B140" s="295" t="s">
        <v>813</v>
      </c>
      <c r="C140" s="295">
        <v>4</v>
      </c>
      <c r="D140" s="295">
        <v>3</v>
      </c>
      <c r="E140" s="295">
        <v>22</v>
      </c>
      <c r="F140" s="295">
        <v>8</v>
      </c>
      <c r="G140" s="295">
        <f>C140*D140*E140*F140</f>
        <v>2112</v>
      </c>
      <c r="H140" s="295">
        <v>15</v>
      </c>
      <c r="I140" s="301">
        <f>G140*H140</f>
        <v>31680</v>
      </c>
      <c r="K140" s="291">
        <v>45.45</v>
      </c>
    </row>
    <row r="141" spans="2:11">
      <c r="B141" s="295" t="s">
        <v>814</v>
      </c>
      <c r="C141" s="295">
        <v>5</v>
      </c>
      <c r="D141" s="295">
        <v>5</v>
      </c>
      <c r="E141" s="295">
        <v>22</v>
      </c>
      <c r="F141" s="295">
        <v>8</v>
      </c>
      <c r="G141" s="295">
        <f>C141*D141*E141*F141</f>
        <v>4400</v>
      </c>
      <c r="H141" s="295">
        <v>18</v>
      </c>
      <c r="I141" s="301">
        <f>G141*H141</f>
        <v>79200</v>
      </c>
      <c r="K141" s="291">
        <v>48.3</v>
      </c>
    </row>
    <row r="142" spans="2:11">
      <c r="B142" s="295" t="s">
        <v>815</v>
      </c>
      <c r="C142" s="295">
        <v>3</v>
      </c>
      <c r="D142" s="295">
        <v>3</v>
      </c>
      <c r="E142" s="295">
        <v>22</v>
      </c>
      <c r="F142" s="295">
        <v>8</v>
      </c>
      <c r="G142" s="295">
        <f>C142*D142*E142*F142</f>
        <v>1584</v>
      </c>
      <c r="H142" s="295">
        <v>14</v>
      </c>
      <c r="I142" s="301">
        <f>G142*H142</f>
        <v>22176</v>
      </c>
      <c r="K142" s="291">
        <v>56.82</v>
      </c>
    </row>
    <row r="143" spans="2:11">
      <c r="B143" s="297" t="s">
        <v>816</v>
      </c>
      <c r="C143" s="295"/>
      <c r="D143" s="295"/>
      <c r="E143" s="295"/>
      <c r="F143" s="295"/>
      <c r="G143" s="295">
        <f>SUM(G139:G142)</f>
        <v>9680</v>
      </c>
      <c r="H143" s="295"/>
      <c r="I143" s="302">
        <f>SUM(I138:I142)</f>
        <v>199760</v>
      </c>
    </row>
    <row r="144" spans="2:11">
      <c r="B144" s="295" t="s">
        <v>817</v>
      </c>
      <c r="C144" s="300">
        <f>10%*Terceriza</f>
        <v>0</v>
      </c>
      <c r="D144" s="295"/>
      <c r="E144" s="295"/>
      <c r="F144" s="295"/>
      <c r="G144" s="295"/>
      <c r="H144" s="295"/>
      <c r="I144" s="296">
        <f>I143*C144</f>
        <v>0</v>
      </c>
    </row>
    <row r="145" spans="2:11">
      <c r="B145" s="295" t="s">
        <v>818</v>
      </c>
      <c r="C145" s="300">
        <f>25%*Terceriza</f>
        <v>0</v>
      </c>
      <c r="D145" s="295"/>
      <c r="E145" s="295"/>
      <c r="F145" s="295"/>
      <c r="G145" s="295"/>
      <c r="H145" s="295"/>
      <c r="I145" s="296">
        <f>I143*C145</f>
        <v>0</v>
      </c>
    </row>
    <row r="146" spans="2:11">
      <c r="B146" s="295" t="s">
        <v>829</v>
      </c>
      <c r="C146" s="295"/>
      <c r="D146" s="295"/>
      <c r="E146" s="295"/>
      <c r="F146" s="295"/>
      <c r="G146" s="295"/>
      <c r="H146" s="295"/>
      <c r="I146" s="296">
        <f>SUM(I143:I145)</f>
        <v>199760</v>
      </c>
    </row>
    <row r="147" spans="2:11">
      <c r="B147" s="295" t="s">
        <v>820</v>
      </c>
      <c r="C147" s="300">
        <f>18%*Terceriza</f>
        <v>0</v>
      </c>
      <c r="D147" s="295"/>
      <c r="E147" s="295"/>
      <c r="F147" s="295"/>
      <c r="G147" s="295"/>
      <c r="H147" s="295"/>
      <c r="I147" s="296">
        <f>I146*C147</f>
        <v>0</v>
      </c>
    </row>
    <row r="148" spans="2:11" s="299" customFormat="1">
      <c r="B148" s="1001" t="s">
        <v>821</v>
      </c>
      <c r="C148" s="1002"/>
      <c r="D148" s="1002"/>
      <c r="E148" s="1002"/>
      <c r="F148" s="1002"/>
      <c r="G148" s="1002"/>
      <c r="H148" s="1003"/>
      <c r="I148" s="302">
        <f>SUM(I146:I147)</f>
        <v>199760</v>
      </c>
    </row>
    <row r="149" spans="2:11" s="299" customFormat="1">
      <c r="B149" s="779"/>
      <c r="C149" s="779"/>
      <c r="D149" s="779"/>
      <c r="E149" s="779"/>
      <c r="F149" s="779"/>
      <c r="G149" s="779"/>
      <c r="H149" s="779"/>
      <c r="I149" s="304"/>
    </row>
    <row r="150" spans="2:11" s="299" customFormat="1">
      <c r="B150" s="779"/>
      <c r="C150" s="779"/>
      <c r="D150" s="779"/>
      <c r="E150" s="779"/>
      <c r="F150" s="779"/>
      <c r="G150" s="779"/>
      <c r="H150" s="779"/>
      <c r="I150" s="304"/>
    </row>
    <row r="151" spans="2:11" ht="33.75" customHeight="1">
      <c r="B151" s="1008" t="s">
        <v>849</v>
      </c>
      <c r="C151" s="1008"/>
      <c r="D151" s="1008"/>
      <c r="E151" s="1008"/>
      <c r="F151" s="1008"/>
      <c r="G151" s="1008"/>
      <c r="H151" s="1008"/>
      <c r="I151" s="1008"/>
    </row>
    <row r="152" spans="2:11">
      <c r="B152" s="291" t="s">
        <v>848</v>
      </c>
    </row>
    <row r="153" spans="2:11" ht="28.9">
      <c r="B153" s="292" t="s">
        <v>803</v>
      </c>
      <c r="C153" s="293" t="s">
        <v>804</v>
      </c>
      <c r="D153" s="293" t="s">
        <v>805</v>
      </c>
      <c r="E153" s="293" t="s">
        <v>806</v>
      </c>
      <c r="F153" s="293" t="s">
        <v>807</v>
      </c>
      <c r="G153" s="293" t="s">
        <v>808</v>
      </c>
      <c r="H153" s="293" t="s">
        <v>809</v>
      </c>
      <c r="I153" s="293" t="s">
        <v>810</v>
      </c>
      <c r="K153" s="294" t="s">
        <v>811</v>
      </c>
    </row>
    <row r="154" spans="2:11">
      <c r="B154" s="295" t="s">
        <v>812</v>
      </c>
      <c r="C154" s="295">
        <v>1</v>
      </c>
      <c r="D154" s="295">
        <v>7</v>
      </c>
      <c r="E154" s="295">
        <v>22</v>
      </c>
      <c r="F154" s="295">
        <v>8</v>
      </c>
      <c r="G154" s="295">
        <f>C154*D154*E154*F154</f>
        <v>1232</v>
      </c>
      <c r="H154" s="295">
        <v>23</v>
      </c>
      <c r="I154" s="296">
        <f>G154*H154</f>
        <v>28336</v>
      </c>
      <c r="K154" s="291">
        <v>73.86</v>
      </c>
    </row>
    <row r="155" spans="2:11">
      <c r="B155" s="295" t="s">
        <v>826</v>
      </c>
      <c r="C155" s="295">
        <v>1</v>
      </c>
      <c r="D155" s="295">
        <v>2</v>
      </c>
      <c r="E155" s="295">
        <v>22</v>
      </c>
      <c r="F155" s="295">
        <v>8</v>
      </c>
      <c r="G155" s="295">
        <f>C155*D155*E155*F155</f>
        <v>352</v>
      </c>
      <c r="H155" s="295">
        <v>14</v>
      </c>
      <c r="I155" s="301">
        <f>G155*H155</f>
        <v>4928</v>
      </c>
    </row>
    <row r="156" spans="2:11">
      <c r="B156" s="295" t="s">
        <v>813</v>
      </c>
      <c r="C156" s="295">
        <v>2</v>
      </c>
      <c r="D156" s="295">
        <v>2</v>
      </c>
      <c r="E156" s="295">
        <v>22</v>
      </c>
      <c r="F156" s="295">
        <v>8</v>
      </c>
      <c r="G156" s="295">
        <f>C156*D156*E156*F156</f>
        <v>704</v>
      </c>
      <c r="H156" s="295">
        <v>15</v>
      </c>
      <c r="I156" s="296">
        <f>G156*H156</f>
        <v>10560</v>
      </c>
      <c r="K156" s="291">
        <v>48.3</v>
      </c>
    </row>
    <row r="157" spans="2:11">
      <c r="B157" s="295" t="s">
        <v>814</v>
      </c>
      <c r="C157" s="295">
        <v>1</v>
      </c>
      <c r="D157" s="295">
        <v>3</v>
      </c>
      <c r="E157" s="295">
        <v>22</v>
      </c>
      <c r="F157" s="295">
        <v>8</v>
      </c>
      <c r="G157" s="295">
        <f>C157*D157*E157*F157</f>
        <v>528</v>
      </c>
      <c r="H157" s="295">
        <v>18</v>
      </c>
      <c r="I157" s="296">
        <f>G157*H157</f>
        <v>9504</v>
      </c>
      <c r="K157" s="291">
        <v>56.82</v>
      </c>
    </row>
    <row r="158" spans="2:11">
      <c r="B158" s="295" t="s">
        <v>815</v>
      </c>
      <c r="C158" s="295">
        <v>1</v>
      </c>
      <c r="D158" s="295">
        <v>2</v>
      </c>
      <c r="E158" s="295">
        <v>22</v>
      </c>
      <c r="F158" s="295">
        <v>8</v>
      </c>
      <c r="G158" s="295">
        <f>C158*D158*E158*F158</f>
        <v>352</v>
      </c>
      <c r="H158" s="295">
        <v>14</v>
      </c>
      <c r="I158" s="296">
        <f>G158*H158</f>
        <v>4928</v>
      </c>
      <c r="K158" s="291">
        <v>45.45</v>
      </c>
    </row>
    <row r="159" spans="2:11">
      <c r="B159" s="297" t="s">
        <v>816</v>
      </c>
      <c r="C159" s="295"/>
      <c r="D159" s="295"/>
      <c r="E159" s="295"/>
      <c r="F159" s="295"/>
      <c r="G159" s="295">
        <f>SUM(G154:G158)</f>
        <v>3168</v>
      </c>
      <c r="H159" s="295"/>
      <c r="I159" s="298">
        <f>SUM(I154:I158)</f>
        <v>58256</v>
      </c>
    </row>
    <row r="160" spans="2:11">
      <c r="B160" s="295" t="s">
        <v>817</v>
      </c>
      <c r="C160" s="347">
        <v>0.1</v>
      </c>
      <c r="D160" s="295"/>
      <c r="E160" s="295"/>
      <c r="F160" s="295"/>
      <c r="G160" s="295"/>
      <c r="H160" s="295"/>
      <c r="I160" s="296">
        <f>I159*C160</f>
        <v>5825.6</v>
      </c>
    </row>
    <row r="161" spans="2:11">
      <c r="B161" s="295" t="s">
        <v>818</v>
      </c>
      <c r="C161" s="347">
        <v>0.25</v>
      </c>
      <c r="D161" s="295"/>
      <c r="E161" s="295"/>
      <c r="F161" s="295"/>
      <c r="G161" s="295"/>
      <c r="H161" s="295"/>
      <c r="I161" s="296">
        <f>I159*C161</f>
        <v>14564</v>
      </c>
    </row>
    <row r="162" spans="2:11">
      <c r="B162" s="295" t="s">
        <v>819</v>
      </c>
      <c r="C162" s="295"/>
      <c r="D162" s="295"/>
      <c r="E162" s="295"/>
      <c r="F162" s="295"/>
      <c r="G162" s="295"/>
      <c r="H162" s="295"/>
      <c r="I162" s="296">
        <f>SUM(I159:I161)</f>
        <v>78645.600000000006</v>
      </c>
    </row>
    <row r="163" spans="2:11">
      <c r="B163" s="295" t="s">
        <v>820</v>
      </c>
      <c r="C163" s="347">
        <v>0.18</v>
      </c>
      <c r="D163" s="295"/>
      <c r="E163" s="295"/>
      <c r="F163" s="295"/>
      <c r="G163" s="295"/>
      <c r="H163" s="295"/>
      <c r="I163" s="296">
        <f>I162*C163</f>
        <v>14156.208000000001</v>
      </c>
    </row>
    <row r="164" spans="2:11" s="299" customFormat="1">
      <c r="B164" s="1001" t="s">
        <v>821</v>
      </c>
      <c r="C164" s="1002"/>
      <c r="D164" s="1002"/>
      <c r="E164" s="1002"/>
      <c r="F164" s="1002"/>
      <c r="G164" s="1002"/>
      <c r="H164" s="1003"/>
      <c r="I164" s="298">
        <f>SUM(I162:I163)</f>
        <v>92801.808000000005</v>
      </c>
    </row>
    <row r="165" spans="2:11" s="299" customFormat="1">
      <c r="B165" s="779" t="s">
        <v>850</v>
      </c>
      <c r="C165" s="295">
        <v>4</v>
      </c>
      <c r="D165" s="779"/>
      <c r="E165" s="779"/>
      <c r="F165" s="779"/>
      <c r="G165" s="779"/>
      <c r="H165" s="779"/>
      <c r="I165" s="304">
        <f>I164*C165</f>
        <v>371207.23200000002</v>
      </c>
    </row>
    <row r="166" spans="2:11" s="299" customFormat="1">
      <c r="B166" s="779"/>
      <c r="C166" s="779"/>
      <c r="D166" s="779"/>
      <c r="E166" s="779"/>
      <c r="F166" s="779"/>
      <c r="G166" s="779"/>
      <c r="H166" s="779"/>
      <c r="I166" s="304"/>
    </row>
    <row r="167" spans="2:11" ht="28.5" customHeight="1">
      <c r="B167" s="1008" t="s">
        <v>851</v>
      </c>
      <c r="C167" s="1008"/>
      <c r="D167" s="1008"/>
      <c r="E167" s="1008"/>
      <c r="F167" s="1008"/>
      <c r="G167" s="1008"/>
      <c r="H167" s="1008"/>
      <c r="I167" s="1008"/>
    </row>
    <row r="168" spans="2:11">
      <c r="B168" s="291" t="s">
        <v>852</v>
      </c>
    </row>
    <row r="169" spans="2:11" ht="28.9">
      <c r="B169" s="292" t="s">
        <v>803</v>
      </c>
      <c r="C169" s="293" t="s">
        <v>804</v>
      </c>
      <c r="D169" s="293" t="s">
        <v>805</v>
      </c>
      <c r="E169" s="293" t="s">
        <v>806</v>
      </c>
      <c r="F169" s="293" t="s">
        <v>807</v>
      </c>
      <c r="G169" s="293" t="s">
        <v>808</v>
      </c>
      <c r="H169" s="293" t="s">
        <v>809</v>
      </c>
      <c r="I169" s="293" t="s">
        <v>810</v>
      </c>
      <c r="K169" s="294" t="s">
        <v>811</v>
      </c>
    </row>
    <row r="170" spans="2:11">
      <c r="B170" s="295" t="s">
        <v>812</v>
      </c>
      <c r="C170" s="295">
        <v>1</v>
      </c>
      <c r="D170" s="295">
        <v>10</v>
      </c>
      <c r="E170" s="295">
        <v>22</v>
      </c>
      <c r="F170" s="295">
        <v>8</v>
      </c>
      <c r="G170" s="295">
        <f t="shared" ref="G170:G175" si="4">C170*D170*E170*F170</f>
        <v>1760</v>
      </c>
      <c r="H170" s="295">
        <v>23</v>
      </c>
      <c r="I170" s="296">
        <f t="shared" ref="I170:I175" si="5">G170*H170</f>
        <v>40480</v>
      </c>
      <c r="K170" s="294"/>
    </row>
    <row r="171" spans="2:11">
      <c r="B171" s="295" t="s">
        <v>813</v>
      </c>
      <c r="C171" s="295">
        <v>2</v>
      </c>
      <c r="D171" s="295">
        <v>3</v>
      </c>
      <c r="E171" s="295">
        <v>22</v>
      </c>
      <c r="F171" s="295">
        <v>8</v>
      </c>
      <c r="G171" s="295">
        <f t="shared" si="4"/>
        <v>1056</v>
      </c>
      <c r="H171" s="295">
        <v>15</v>
      </c>
      <c r="I171" s="296">
        <f t="shared" si="5"/>
        <v>15840</v>
      </c>
      <c r="K171" s="291">
        <v>73.86</v>
      </c>
    </row>
    <row r="172" spans="2:11">
      <c r="B172" s="295" t="s">
        <v>826</v>
      </c>
      <c r="C172" s="295">
        <v>2</v>
      </c>
      <c r="D172" s="295">
        <v>3</v>
      </c>
      <c r="E172" s="295">
        <v>22</v>
      </c>
      <c r="F172" s="295">
        <v>8</v>
      </c>
      <c r="G172" s="295">
        <f t="shared" si="4"/>
        <v>1056</v>
      </c>
      <c r="H172" s="295">
        <v>14</v>
      </c>
      <c r="I172" s="301">
        <f t="shared" si="5"/>
        <v>14784</v>
      </c>
      <c r="K172" s="291">
        <v>73.86</v>
      </c>
    </row>
    <row r="173" spans="2:11">
      <c r="B173" s="295" t="s">
        <v>827</v>
      </c>
      <c r="C173" s="295">
        <v>2</v>
      </c>
      <c r="D173" s="295">
        <v>2</v>
      </c>
      <c r="E173" s="295">
        <v>22</v>
      </c>
      <c r="F173" s="295">
        <v>8</v>
      </c>
      <c r="G173" s="295">
        <f t="shared" si="4"/>
        <v>704</v>
      </c>
      <c r="H173" s="295">
        <v>15</v>
      </c>
      <c r="I173" s="301">
        <f t="shared" si="5"/>
        <v>10560</v>
      </c>
      <c r="K173" s="291">
        <v>48.3</v>
      </c>
    </row>
    <row r="174" spans="2:11">
      <c r="B174" s="295" t="s">
        <v>814</v>
      </c>
      <c r="C174" s="295">
        <v>3</v>
      </c>
      <c r="D174" s="295">
        <v>3</v>
      </c>
      <c r="E174" s="295">
        <v>22</v>
      </c>
      <c r="F174" s="295">
        <v>8</v>
      </c>
      <c r="G174" s="295">
        <f t="shared" si="4"/>
        <v>1584</v>
      </c>
      <c r="H174" s="295">
        <v>18</v>
      </c>
      <c r="I174" s="296">
        <f t="shared" si="5"/>
        <v>28512</v>
      </c>
      <c r="K174" s="291">
        <v>45.45</v>
      </c>
    </row>
    <row r="175" spans="2:11">
      <c r="B175" s="295" t="s">
        <v>815</v>
      </c>
      <c r="C175" s="295">
        <v>2</v>
      </c>
      <c r="D175" s="295">
        <v>2</v>
      </c>
      <c r="E175" s="295">
        <v>22</v>
      </c>
      <c r="F175" s="295">
        <v>8</v>
      </c>
      <c r="G175" s="295">
        <f t="shared" si="4"/>
        <v>704</v>
      </c>
      <c r="H175" s="295">
        <v>14</v>
      </c>
      <c r="I175" s="296">
        <f t="shared" si="5"/>
        <v>9856</v>
      </c>
    </row>
    <row r="176" spans="2:11">
      <c r="B176" s="297" t="s">
        <v>816</v>
      </c>
      <c r="C176" s="295"/>
      <c r="D176" s="295"/>
      <c r="E176" s="295"/>
      <c r="F176" s="295"/>
      <c r="G176" s="295">
        <f>SUM(G171:G173)</f>
        <v>2816</v>
      </c>
      <c r="H176" s="295"/>
      <c r="I176" s="302">
        <f>SUM(I170:I175)</f>
        <v>120032</v>
      </c>
    </row>
    <row r="177" spans="2:9">
      <c r="B177" s="295" t="s">
        <v>817</v>
      </c>
      <c r="C177" s="300">
        <f>10%*Terceriza</f>
        <v>0</v>
      </c>
      <c r="D177" s="295"/>
      <c r="E177" s="295"/>
      <c r="F177" s="295"/>
      <c r="G177" s="295"/>
      <c r="H177" s="295"/>
      <c r="I177" s="296">
        <f>I176*C177</f>
        <v>0</v>
      </c>
    </row>
    <row r="178" spans="2:9">
      <c r="B178" s="295" t="s">
        <v>818</v>
      </c>
      <c r="C178" s="300">
        <f>25%*Terceriza</f>
        <v>0</v>
      </c>
      <c r="D178" s="295"/>
      <c r="E178" s="295"/>
      <c r="F178" s="295"/>
      <c r="G178" s="295"/>
      <c r="H178" s="295"/>
      <c r="I178" s="296">
        <f>I176*C178</f>
        <v>0</v>
      </c>
    </row>
    <row r="179" spans="2:9">
      <c r="B179" s="295" t="s">
        <v>829</v>
      </c>
      <c r="C179" s="295"/>
      <c r="D179" s="295"/>
      <c r="E179" s="295"/>
      <c r="F179" s="295"/>
      <c r="G179" s="295"/>
      <c r="H179" s="295"/>
      <c r="I179" s="296">
        <f>SUM(I176:I178)</f>
        <v>120032</v>
      </c>
    </row>
    <row r="180" spans="2:9" s="299" customFormat="1">
      <c r="B180" s="295" t="s">
        <v>820</v>
      </c>
      <c r="C180" s="300">
        <f>18%*Terceriza</f>
        <v>0</v>
      </c>
      <c r="D180" s="295"/>
      <c r="E180" s="295"/>
      <c r="F180" s="295"/>
      <c r="G180" s="295"/>
      <c r="H180" s="295"/>
      <c r="I180" s="296">
        <f>I179*C180</f>
        <v>0</v>
      </c>
    </row>
    <row r="181" spans="2:9" s="299" customFormat="1">
      <c r="B181" s="1005" t="s">
        <v>821</v>
      </c>
      <c r="C181" s="1005"/>
      <c r="D181" s="1005"/>
      <c r="E181" s="1005"/>
      <c r="F181" s="1005"/>
      <c r="G181" s="1005"/>
      <c r="H181" s="1005"/>
      <c r="I181" s="302">
        <f>SUM(I179:I180)</f>
        <v>120032</v>
      </c>
    </row>
    <row r="182" spans="2:9" s="299" customFormat="1">
      <c r="B182" s="779" t="s">
        <v>850</v>
      </c>
      <c r="C182" s="295">
        <v>4</v>
      </c>
      <c r="D182" s="779"/>
      <c r="E182" s="779"/>
      <c r="F182" s="779"/>
      <c r="G182" s="779"/>
      <c r="H182" s="779"/>
      <c r="I182" s="304">
        <f>I181*C182</f>
        <v>480128</v>
      </c>
    </row>
    <row r="183" spans="2:9" s="299" customFormat="1">
      <c r="B183" s="779"/>
      <c r="C183" s="305"/>
      <c r="D183" s="779"/>
      <c r="E183" s="779"/>
      <c r="F183" s="779"/>
      <c r="G183" s="779"/>
      <c r="H183" s="779"/>
      <c r="I183" s="304"/>
    </row>
    <row r="184" spans="2:9">
      <c r="B184" s="1009"/>
      <c r="C184" s="1009"/>
      <c r="D184" s="1009"/>
      <c r="E184" s="1009"/>
      <c r="F184" s="1009"/>
      <c r="G184" s="1009"/>
      <c r="H184" s="1009"/>
      <c r="I184" s="1009"/>
    </row>
    <row r="186" spans="2:9">
      <c r="B186" s="1004" t="s">
        <v>853</v>
      </c>
      <c r="C186" s="1004"/>
      <c r="D186" s="1004"/>
      <c r="E186" s="1004"/>
      <c r="F186" s="1004"/>
      <c r="G186" s="1004"/>
      <c r="H186" s="1004"/>
      <c r="I186" s="1004"/>
    </row>
    <row r="188" spans="2:9" ht="28.9">
      <c r="B188" s="292" t="s">
        <v>803</v>
      </c>
      <c r="C188" s="293" t="s">
        <v>804</v>
      </c>
      <c r="D188" s="293" t="s">
        <v>805</v>
      </c>
      <c r="E188" s="293" t="s">
        <v>806</v>
      </c>
      <c r="F188" s="293" t="s">
        <v>807</v>
      </c>
      <c r="G188" s="293" t="s">
        <v>808</v>
      </c>
      <c r="H188" s="293" t="s">
        <v>809</v>
      </c>
      <c r="I188" s="293" t="s">
        <v>810</v>
      </c>
    </row>
    <row r="189" spans="2:9">
      <c r="B189" s="295" t="s">
        <v>832</v>
      </c>
      <c r="C189" s="295">
        <v>1</v>
      </c>
      <c r="D189" s="295">
        <v>30</v>
      </c>
      <c r="E189" s="295">
        <v>22</v>
      </c>
      <c r="F189" s="295">
        <v>8</v>
      </c>
      <c r="G189" s="295">
        <f>C189*D189*E189*F189</f>
        <v>5280</v>
      </c>
      <c r="H189" s="295">
        <v>35</v>
      </c>
      <c r="I189" s="296">
        <f>G189*H189</f>
        <v>184800</v>
      </c>
    </row>
    <row r="190" spans="2:9">
      <c r="B190" s="295" t="s">
        <v>854</v>
      </c>
      <c r="C190" s="295">
        <v>1</v>
      </c>
      <c r="D190" s="295">
        <v>30</v>
      </c>
      <c r="E190" s="295">
        <v>22</v>
      </c>
      <c r="F190" s="295">
        <v>8</v>
      </c>
      <c r="G190" s="295">
        <f>C190*D190*E190*F190</f>
        <v>5280</v>
      </c>
      <c r="H190" s="295">
        <v>18</v>
      </c>
      <c r="I190" s="296">
        <f>G190*H190</f>
        <v>95040</v>
      </c>
    </row>
    <row r="191" spans="2:9">
      <c r="B191" s="295" t="s">
        <v>855</v>
      </c>
      <c r="C191" s="295">
        <v>2</v>
      </c>
      <c r="D191" s="295">
        <v>30</v>
      </c>
      <c r="E191" s="295">
        <v>22</v>
      </c>
      <c r="F191" s="295">
        <v>8</v>
      </c>
      <c r="G191" s="295">
        <f>C191*D191*E191*F191</f>
        <v>10560</v>
      </c>
      <c r="H191" s="295">
        <v>23</v>
      </c>
      <c r="I191" s="296">
        <f>G191*H191</f>
        <v>242880</v>
      </c>
    </row>
    <row r="192" spans="2:9">
      <c r="B192" s="297" t="s">
        <v>816</v>
      </c>
      <c r="C192" s="295"/>
      <c r="D192" s="295"/>
      <c r="E192" s="295"/>
      <c r="F192" s="295"/>
      <c r="G192" s="295">
        <f>SUM(G189:G191)</f>
        <v>21120</v>
      </c>
      <c r="H192" s="295"/>
      <c r="I192" s="298">
        <f>SUM(I189:I191)</f>
        <v>522720</v>
      </c>
    </row>
    <row r="193" spans="2:9">
      <c r="B193" s="295" t="s">
        <v>817</v>
      </c>
      <c r="C193" s="300">
        <f>10%*Terceriza</f>
        <v>0</v>
      </c>
      <c r="D193" s="295"/>
      <c r="E193" s="295"/>
      <c r="F193" s="295"/>
      <c r="G193" s="295"/>
      <c r="H193" s="295"/>
      <c r="I193" s="296">
        <f>I192*C193</f>
        <v>0</v>
      </c>
    </row>
    <row r="194" spans="2:9">
      <c r="B194" s="295" t="s">
        <v>818</v>
      </c>
      <c r="C194" s="300">
        <f>25%*Terceriza</f>
        <v>0</v>
      </c>
      <c r="D194" s="295"/>
      <c r="E194" s="295"/>
      <c r="F194" s="295"/>
      <c r="G194" s="295"/>
      <c r="H194" s="295"/>
      <c r="I194" s="296">
        <f>I192*C194</f>
        <v>0</v>
      </c>
    </row>
    <row r="195" spans="2:9">
      <c r="B195" s="295" t="s">
        <v>819</v>
      </c>
      <c r="C195" s="295"/>
      <c r="D195" s="295"/>
      <c r="E195" s="295"/>
      <c r="F195" s="295"/>
      <c r="G195" s="295"/>
      <c r="H195" s="295"/>
      <c r="I195" s="296">
        <f>SUM(I192:I194)</f>
        <v>522720</v>
      </c>
    </row>
    <row r="196" spans="2:9">
      <c r="B196" s="295" t="s">
        <v>820</v>
      </c>
      <c r="C196" s="300">
        <f>18%*Terceriza</f>
        <v>0</v>
      </c>
      <c r="D196" s="295"/>
      <c r="E196" s="295"/>
      <c r="F196" s="295"/>
      <c r="G196" s="295"/>
      <c r="H196" s="295"/>
      <c r="I196" s="296">
        <f>I195*C196</f>
        <v>0</v>
      </c>
    </row>
    <row r="197" spans="2:9">
      <c r="B197" s="1001" t="s">
        <v>821</v>
      </c>
      <c r="C197" s="1002"/>
      <c r="D197" s="1002"/>
      <c r="E197" s="1002"/>
      <c r="F197" s="1002"/>
      <c r="G197" s="1002"/>
      <c r="H197" s="1003"/>
      <c r="I197" s="298">
        <f>SUM(I195:I196)</f>
        <v>522720</v>
      </c>
    </row>
    <row r="199" spans="2:9">
      <c r="B199" s="299" t="s">
        <v>856</v>
      </c>
    </row>
    <row r="201" spans="2:9" ht="28.9">
      <c r="B201" s="306" t="s">
        <v>803</v>
      </c>
      <c r="C201" s="307" t="s">
        <v>804</v>
      </c>
      <c r="D201" s="307"/>
      <c r="E201" s="307"/>
      <c r="F201" s="307"/>
      <c r="G201" s="307"/>
      <c r="H201" s="307" t="s">
        <v>857</v>
      </c>
      <c r="I201" s="307" t="s">
        <v>810</v>
      </c>
    </row>
    <row r="202" spans="2:9">
      <c r="B202" s="295" t="s">
        <v>858</v>
      </c>
      <c r="C202" s="295">
        <v>6</v>
      </c>
      <c r="D202" s="295"/>
      <c r="E202" s="295"/>
      <c r="F202" s="295"/>
      <c r="G202" s="295"/>
      <c r="H202" s="296">
        <v>75757.57575757576</v>
      </c>
      <c r="I202" s="296">
        <f>+C202*H202</f>
        <v>454545.45454545459</v>
      </c>
    </row>
    <row r="203" spans="2:9">
      <c r="B203" s="295" t="s">
        <v>859</v>
      </c>
      <c r="C203" s="295">
        <v>40</v>
      </c>
      <c r="D203" s="295"/>
      <c r="E203" s="295"/>
      <c r="F203" s="295"/>
      <c r="G203" s="295"/>
      <c r="H203" s="296">
        <v>3636.3636363636365</v>
      </c>
      <c r="I203" s="296">
        <f>+C203*H203</f>
        <v>145454.54545454547</v>
      </c>
    </row>
    <row r="204" spans="2:9">
      <c r="B204" s="295" t="s">
        <v>860</v>
      </c>
      <c r="C204" s="295">
        <v>40</v>
      </c>
      <c r="D204" s="295"/>
      <c r="E204" s="295"/>
      <c r="F204" s="295"/>
      <c r="G204" s="295"/>
      <c r="H204" s="296">
        <v>15151.515151515152</v>
      </c>
      <c r="I204" s="296">
        <f>+C204*H204</f>
        <v>606060.60606060608</v>
      </c>
    </row>
    <row r="205" spans="2:9">
      <c r="B205" s="295" t="s">
        <v>861</v>
      </c>
      <c r="C205" s="295">
        <v>5</v>
      </c>
      <c r="D205" s="295"/>
      <c r="E205" s="295"/>
      <c r="F205" s="295"/>
      <c r="G205" s="295"/>
      <c r="H205" s="296">
        <v>54545.454545454551</v>
      </c>
      <c r="I205" s="296">
        <f>+C205*H205</f>
        <v>272727.27272727276</v>
      </c>
    </row>
    <row r="206" spans="2:9">
      <c r="B206" s="297" t="s">
        <v>816</v>
      </c>
      <c r="C206" s="295"/>
      <c r="D206" s="295"/>
      <c r="E206" s="295"/>
      <c r="F206" s="295"/>
      <c r="G206" s="295"/>
      <c r="H206" s="296"/>
      <c r="I206" s="298">
        <f>SUM(I202:I205)</f>
        <v>1478787.8787878787</v>
      </c>
    </row>
    <row r="207" spans="2:9">
      <c r="B207" s="295" t="s">
        <v>817</v>
      </c>
      <c r="C207" s="300">
        <f>10%*Terceriza</f>
        <v>0</v>
      </c>
      <c r="D207" s="295"/>
      <c r="E207" s="295"/>
      <c r="F207" s="295"/>
      <c r="G207" s="295"/>
      <c r="H207" s="296"/>
      <c r="I207" s="296">
        <f>I206*C207</f>
        <v>0</v>
      </c>
    </row>
    <row r="208" spans="2:9">
      <c r="B208" s="295" t="s">
        <v>818</v>
      </c>
      <c r="C208" s="300">
        <f>25%*Terceriza</f>
        <v>0</v>
      </c>
      <c r="D208" s="295"/>
      <c r="E208" s="295"/>
      <c r="F208" s="295"/>
      <c r="G208" s="295"/>
      <c r="H208" s="296"/>
      <c r="I208" s="296">
        <f>I206*C208</f>
        <v>0</v>
      </c>
    </row>
    <row r="209" spans="1:9">
      <c r="B209" s="295" t="s">
        <v>819</v>
      </c>
      <c r="C209" s="295"/>
      <c r="D209" s="295"/>
      <c r="E209" s="295"/>
      <c r="F209" s="295"/>
      <c r="G209" s="295"/>
      <c r="H209" s="296"/>
      <c r="I209" s="296">
        <f>SUM(I206:I208)</f>
        <v>1478787.8787878787</v>
      </c>
    </row>
    <row r="210" spans="1:9">
      <c r="B210" s="295" t="s">
        <v>820</v>
      </c>
      <c r="C210" s="300">
        <f>18%*Terceriza</f>
        <v>0</v>
      </c>
      <c r="D210" s="295"/>
      <c r="E210" s="295"/>
      <c r="F210" s="295"/>
      <c r="G210" s="295"/>
      <c r="H210" s="296"/>
      <c r="I210" s="296">
        <f>I209*C210</f>
        <v>0</v>
      </c>
    </row>
    <row r="211" spans="1:9">
      <c r="B211" s="1001" t="s">
        <v>821</v>
      </c>
      <c r="C211" s="1002"/>
      <c r="D211" s="1002"/>
      <c r="E211" s="1002"/>
      <c r="F211" s="1002"/>
      <c r="G211" s="1002"/>
      <c r="H211" s="1003"/>
      <c r="I211" s="298">
        <f>SUM(I209:I210)</f>
        <v>1478787.8787878787</v>
      </c>
    </row>
    <row r="214" spans="1:9" ht="15.6">
      <c r="A214" s="311" t="s">
        <v>862</v>
      </c>
      <c r="B214" s="310" t="s">
        <v>863</v>
      </c>
    </row>
    <row r="216" spans="1:9">
      <c r="B216" s="1006" t="s">
        <v>864</v>
      </c>
      <c r="C216" s="1006"/>
      <c r="D216" s="1006"/>
      <c r="E216" s="1006"/>
      <c r="F216" s="1006"/>
      <c r="G216" s="1006"/>
      <c r="H216" s="1006"/>
      <c r="I216" s="1006"/>
    </row>
    <row r="217" spans="1:9">
      <c r="B217" s="312"/>
      <c r="C217" s="312"/>
      <c r="D217" s="312"/>
      <c r="E217" s="312"/>
      <c r="F217" s="312"/>
      <c r="G217" s="312"/>
      <c r="H217" s="312"/>
      <c r="I217" s="312"/>
    </row>
    <row r="218" spans="1:9" ht="28.9">
      <c r="B218" s="313" t="s">
        <v>803</v>
      </c>
      <c r="C218" s="314" t="s">
        <v>804</v>
      </c>
      <c r="D218" s="314" t="s">
        <v>805</v>
      </c>
      <c r="E218" s="314" t="s">
        <v>841</v>
      </c>
      <c r="F218" s="314" t="s">
        <v>807</v>
      </c>
      <c r="G218" s="314" t="s">
        <v>808</v>
      </c>
      <c r="H218" s="314" t="s">
        <v>809</v>
      </c>
      <c r="I218" s="314" t="s">
        <v>810</v>
      </c>
    </row>
    <row r="219" spans="1:9">
      <c r="B219" s="315" t="s">
        <v>825</v>
      </c>
      <c r="C219" s="315">
        <v>1</v>
      </c>
      <c r="D219" s="315">
        <v>8</v>
      </c>
      <c r="E219" s="315">
        <v>22</v>
      </c>
      <c r="F219" s="315">
        <v>8</v>
      </c>
      <c r="G219" s="315">
        <v>1408</v>
      </c>
      <c r="H219" s="315">
        <v>23</v>
      </c>
      <c r="I219" s="296">
        <f>G219*H219</f>
        <v>32384</v>
      </c>
    </row>
    <row r="220" spans="1:9">
      <c r="B220" s="315" t="s">
        <v>826</v>
      </c>
      <c r="C220" s="315">
        <v>2</v>
      </c>
      <c r="D220" s="315">
        <v>8</v>
      </c>
      <c r="E220" s="315">
        <v>22</v>
      </c>
      <c r="F220" s="315">
        <v>8</v>
      </c>
      <c r="G220" s="315">
        <v>2816</v>
      </c>
      <c r="H220" s="315">
        <v>14</v>
      </c>
      <c r="I220" s="296">
        <f>G220*H220</f>
        <v>39424</v>
      </c>
    </row>
    <row r="221" spans="1:9">
      <c r="B221" s="315" t="s">
        <v>865</v>
      </c>
      <c r="C221" s="315">
        <v>2</v>
      </c>
      <c r="D221" s="315">
        <v>8</v>
      </c>
      <c r="E221" s="315">
        <v>22</v>
      </c>
      <c r="F221" s="315">
        <v>8</v>
      </c>
      <c r="G221" s="315">
        <v>2816</v>
      </c>
      <c r="H221" s="315">
        <v>15</v>
      </c>
      <c r="I221" s="296">
        <f>G221*H221</f>
        <v>42240</v>
      </c>
    </row>
    <row r="222" spans="1:9">
      <c r="B222" s="315" t="s">
        <v>828</v>
      </c>
      <c r="C222" s="315">
        <v>4</v>
      </c>
      <c r="D222" s="315">
        <v>8</v>
      </c>
      <c r="E222" s="315">
        <v>22</v>
      </c>
      <c r="F222" s="315">
        <v>8</v>
      </c>
      <c r="G222" s="315">
        <v>5632</v>
      </c>
      <c r="H222" s="315">
        <v>18</v>
      </c>
      <c r="I222" s="296">
        <f>G222*H222</f>
        <v>101376</v>
      </c>
    </row>
    <row r="223" spans="1:9">
      <c r="B223" s="318" t="s">
        <v>866</v>
      </c>
      <c r="C223" s="315"/>
      <c r="D223" s="315"/>
      <c r="E223" s="315"/>
      <c r="F223" s="315"/>
      <c r="G223" s="315">
        <f>SUM(G219:G222)</f>
        <v>12672</v>
      </c>
      <c r="H223" s="315"/>
      <c r="I223" s="296">
        <f>SUM(I219:I222)</f>
        <v>215424</v>
      </c>
    </row>
    <row r="224" spans="1:9">
      <c r="B224" s="295" t="s">
        <v>817</v>
      </c>
      <c r="C224" s="300">
        <f>10%*Terceriza</f>
        <v>0</v>
      </c>
      <c r="D224" s="295"/>
      <c r="E224" s="295"/>
      <c r="F224" s="295"/>
      <c r="G224" s="295"/>
      <c r="H224" s="296"/>
      <c r="I224" s="317">
        <f>I223*C224</f>
        <v>0</v>
      </c>
    </row>
    <row r="225" spans="2:9">
      <c r="B225" s="295" t="s">
        <v>818</v>
      </c>
      <c r="C225" s="300">
        <f>25%*Terceriza</f>
        <v>0</v>
      </c>
      <c r="D225" s="295"/>
      <c r="E225" s="295"/>
      <c r="F225" s="295"/>
      <c r="G225" s="295"/>
      <c r="H225" s="296"/>
      <c r="I225" s="317">
        <f>I223*C225</f>
        <v>0</v>
      </c>
    </row>
    <row r="226" spans="2:9">
      <c r="B226" s="295" t="s">
        <v>819</v>
      </c>
      <c r="C226" s="295"/>
      <c r="D226" s="295"/>
      <c r="E226" s="295"/>
      <c r="F226" s="295"/>
      <c r="G226" s="295"/>
      <c r="H226" s="296"/>
      <c r="I226" s="317">
        <f>SUM(I223:I225)</f>
        <v>215424</v>
      </c>
    </row>
    <row r="227" spans="2:9">
      <c r="B227" s="295" t="s">
        <v>820</v>
      </c>
      <c r="C227" s="300">
        <f>18%*Terceriza</f>
        <v>0</v>
      </c>
      <c r="D227" s="295"/>
      <c r="E227" s="295"/>
      <c r="F227" s="295"/>
      <c r="G227" s="295"/>
      <c r="H227" s="296"/>
      <c r="I227" s="317">
        <f>I226*C227</f>
        <v>0</v>
      </c>
    </row>
    <row r="228" spans="2:9">
      <c r="B228" s="1007" t="s">
        <v>821</v>
      </c>
      <c r="C228" s="1007"/>
      <c r="D228" s="1007"/>
      <c r="E228" s="1007"/>
      <c r="F228" s="1007"/>
      <c r="G228" s="1007"/>
      <c r="H228" s="1007"/>
      <c r="I228" s="316">
        <f>SUM(I226:I227)</f>
        <v>215424</v>
      </c>
    </row>
  </sheetData>
  <mergeCells count="28">
    <mergeCell ref="B216:I216"/>
    <mergeCell ref="B86:I86"/>
    <mergeCell ref="B98:H98"/>
    <mergeCell ref="B228:H228"/>
    <mergeCell ref="B151:I151"/>
    <mergeCell ref="B164:H164"/>
    <mergeCell ref="B167:I167"/>
    <mergeCell ref="B184:I184"/>
    <mergeCell ref="B102:I102"/>
    <mergeCell ref="B118:I118"/>
    <mergeCell ref="B131:H131"/>
    <mergeCell ref="B148:H148"/>
    <mergeCell ref="B135:I135"/>
    <mergeCell ref="B211:H211"/>
    <mergeCell ref="B181:H181"/>
    <mergeCell ref="B186:I186"/>
    <mergeCell ref="B197:H197"/>
    <mergeCell ref="B115:H115"/>
    <mergeCell ref="B20:I20"/>
    <mergeCell ref="B83:H83"/>
    <mergeCell ref="B6:I6"/>
    <mergeCell ref="B34:I34"/>
    <mergeCell ref="B52:I52"/>
    <mergeCell ref="B18:H18"/>
    <mergeCell ref="B49:H49"/>
    <mergeCell ref="B67:H67"/>
    <mergeCell ref="B70:I70"/>
    <mergeCell ref="B32:H32"/>
  </mergeCells>
  <phoneticPr fontId="11" type="noConversion"/>
  <pageMargins left="0.75" right="0.75" top="1" bottom="1" header="0.3" footer="0.3"/>
  <pageSetup orientation="portrait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1:W25"/>
  <sheetViews>
    <sheetView topLeftCell="A17" zoomScale="145" zoomScaleNormal="145" workbookViewId="0">
      <selection activeCell="K7" sqref="K7"/>
    </sheetView>
  </sheetViews>
  <sheetFormatPr defaultColWidth="10.7109375" defaultRowHeight="13.15" outlineLevelCol="1"/>
  <cols>
    <col min="1" max="1" width="1" customWidth="1"/>
    <col min="2" max="3" width="11.42578125" customWidth="1"/>
    <col min="4" max="4" width="10" customWidth="1"/>
    <col min="5" max="5" width="10.7109375" customWidth="1"/>
    <col min="6" max="6" width="11.42578125" customWidth="1"/>
    <col min="7" max="11" width="7.42578125" customWidth="1" outlineLevel="1"/>
    <col min="12" max="16" width="7.42578125" customWidth="1"/>
    <col min="17" max="17" width="7.85546875" customWidth="1"/>
  </cols>
  <sheetData>
    <row r="1" spans="2:23">
      <c r="B1" s="1185" t="s">
        <v>867</v>
      </c>
      <c r="C1" s="1185"/>
      <c r="D1" s="1185"/>
      <c r="E1" s="1185"/>
      <c r="F1" s="1185"/>
      <c r="G1" s="1185"/>
      <c r="H1" s="1185"/>
      <c r="I1" s="1185"/>
      <c r="J1" s="1185"/>
      <c r="K1" s="1185"/>
      <c r="L1" s="1185"/>
      <c r="M1" s="1185"/>
      <c r="N1" s="1185"/>
      <c r="O1" s="1185"/>
      <c r="P1" s="1185"/>
      <c r="Q1" s="1185"/>
      <c r="R1" s="1185"/>
      <c r="S1" s="1185"/>
      <c r="T1" s="1185"/>
      <c r="U1" s="1185"/>
      <c r="V1" s="1185"/>
      <c r="W1" s="760"/>
    </row>
    <row r="2" spans="2:23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760"/>
    </row>
    <row r="3" spans="2:23" ht="39" customHeight="1">
      <c r="B3" s="1186" t="s">
        <v>868</v>
      </c>
      <c r="C3" s="1186"/>
      <c r="D3" s="1030" t="s">
        <v>869</v>
      </c>
      <c r="E3" s="1031"/>
      <c r="F3" s="1031"/>
      <c r="G3" s="1031"/>
      <c r="H3" s="1031"/>
      <c r="I3" s="1031"/>
      <c r="J3" s="1031"/>
      <c r="K3" s="1031"/>
      <c r="L3" s="1031"/>
      <c r="M3" s="1031"/>
      <c r="N3" s="1031"/>
      <c r="O3" s="1031"/>
      <c r="P3" s="1031"/>
      <c r="Q3" s="1031"/>
      <c r="R3" s="1031"/>
      <c r="S3" s="1031"/>
      <c r="T3" s="1031"/>
      <c r="U3" s="1031"/>
      <c r="V3" s="1031"/>
      <c r="W3" s="1032"/>
    </row>
    <row r="4" spans="2:23"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760"/>
    </row>
    <row r="5" spans="2:23" ht="39" customHeight="1">
      <c r="B5" s="1086" t="s">
        <v>870</v>
      </c>
      <c r="C5" s="1086"/>
      <c r="D5" s="1095" t="s">
        <v>871</v>
      </c>
      <c r="E5" s="1095" t="s">
        <v>872</v>
      </c>
      <c r="F5" s="1095" t="s">
        <v>873</v>
      </c>
      <c r="G5" s="1095" t="s">
        <v>197</v>
      </c>
      <c r="H5" s="1095" t="s">
        <v>198</v>
      </c>
      <c r="I5" s="1095" t="s">
        <v>199</v>
      </c>
      <c r="J5" s="1095" t="s">
        <v>200</v>
      </c>
      <c r="K5" s="1095" t="s">
        <v>201</v>
      </c>
      <c r="L5" s="1095" t="s">
        <v>202</v>
      </c>
      <c r="M5" s="1095" t="s">
        <v>874</v>
      </c>
      <c r="N5" s="1095" t="s">
        <v>875</v>
      </c>
      <c r="O5" s="1095" t="s">
        <v>876</v>
      </c>
      <c r="P5" s="1095" t="s">
        <v>877</v>
      </c>
      <c r="Q5" s="1095" t="s">
        <v>878</v>
      </c>
      <c r="R5" s="1086" t="s">
        <v>879</v>
      </c>
      <c r="S5" s="1086"/>
      <c r="T5" s="1091" t="s">
        <v>880</v>
      </c>
      <c r="U5" s="1092"/>
      <c r="V5" s="1092"/>
      <c r="W5" s="1093"/>
    </row>
    <row r="6" spans="2:23" ht="19.5" customHeight="1">
      <c r="B6" s="1033" t="s">
        <v>881</v>
      </c>
      <c r="C6" s="1034"/>
      <c r="D6" s="1034"/>
      <c r="E6" s="1034"/>
      <c r="F6" s="1034"/>
      <c r="G6" s="1034"/>
      <c r="H6" s="1034"/>
      <c r="I6" s="1034"/>
      <c r="J6" s="1034"/>
      <c r="K6" s="1034"/>
      <c r="L6" s="1034"/>
      <c r="M6" s="1034"/>
      <c r="N6" s="1034"/>
      <c r="O6" s="1034"/>
      <c r="P6" s="1034"/>
      <c r="Q6" s="1034"/>
      <c r="R6" s="1034"/>
      <c r="S6" s="1034"/>
      <c r="T6" s="1034"/>
      <c r="U6" s="1034"/>
      <c r="V6" s="1034"/>
      <c r="W6" s="1034"/>
    </row>
    <row r="7" spans="2:23" ht="51.75" customHeight="1">
      <c r="B7" s="1020" t="s">
        <v>882</v>
      </c>
      <c r="C7" s="1019"/>
      <c r="D7" s="356" t="s">
        <v>107</v>
      </c>
      <c r="E7" s="356">
        <v>12.9</v>
      </c>
      <c r="F7" s="356">
        <v>2017</v>
      </c>
      <c r="G7" s="357" t="e">
        <f>#REF!/#REF!*100</f>
        <v>#REF!</v>
      </c>
      <c r="H7" s="362" t="e">
        <f>#REF!/#REF!*100</f>
        <v>#REF!</v>
      </c>
      <c r="I7" s="362" t="e">
        <f>#REF!/#REF!*100</f>
        <v>#REF!</v>
      </c>
      <c r="J7" s="362" t="e">
        <f>#REF!/#REF!*100</f>
        <v>#REF!</v>
      </c>
      <c r="K7" s="357" t="e">
        <f>#REF!/#REF!*100</f>
        <v>#REF!</v>
      </c>
      <c r="L7" s="357" t="e">
        <f>#REF!/#REF!*100</f>
        <v>#REF!</v>
      </c>
      <c r="M7" s="357" t="e">
        <f>#REF!/#REF!*100</f>
        <v>#REF!</v>
      </c>
      <c r="N7" s="357" t="e">
        <f>#REF!/#REF!*100</f>
        <v>#REF!</v>
      </c>
      <c r="O7" s="357" t="e">
        <f>#REF!/#REF!*100</f>
        <v>#REF!</v>
      </c>
      <c r="P7" s="357" t="e">
        <f>#REF!/#REF!*100</f>
        <v>#REF!</v>
      </c>
      <c r="Q7" s="357" t="e">
        <f>P7</f>
        <v>#REF!</v>
      </c>
      <c r="R7" s="1018" t="s">
        <v>883</v>
      </c>
      <c r="S7" s="1019"/>
      <c r="T7" s="1021" t="s">
        <v>884</v>
      </c>
      <c r="U7" s="1022"/>
      <c r="V7" s="1022"/>
      <c r="W7" s="1023"/>
    </row>
    <row r="8" spans="2:23" ht="3.75" customHeight="1">
      <c r="B8" s="61"/>
      <c r="C8" s="61"/>
      <c r="D8" s="61"/>
      <c r="E8" s="61"/>
      <c r="F8" s="61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1"/>
      <c r="S8" s="61"/>
      <c r="T8" s="1187"/>
      <c r="U8" s="53"/>
      <c r="V8" s="53"/>
      <c r="W8" s="760"/>
    </row>
    <row r="9" spans="2:23" ht="3.75" customHeight="1">
      <c r="B9" s="1122" t="s">
        <v>885</v>
      </c>
      <c r="C9" s="1122"/>
      <c r="D9" s="1122"/>
      <c r="E9" s="1122"/>
      <c r="F9" s="1122"/>
      <c r="G9" s="1122"/>
      <c r="H9" s="1122"/>
      <c r="I9" s="1122"/>
      <c r="J9" s="1122"/>
      <c r="K9" s="1122"/>
      <c r="L9" s="1122"/>
      <c r="M9" s="1122"/>
      <c r="N9" s="1122"/>
      <c r="O9" s="1122"/>
      <c r="P9" s="1122"/>
      <c r="Q9" s="1122"/>
      <c r="R9" s="1122"/>
      <c r="S9" s="1122"/>
      <c r="T9" s="1122"/>
      <c r="U9" s="1122"/>
      <c r="V9" s="1122"/>
      <c r="W9" s="1122"/>
    </row>
    <row r="10" spans="2:23" ht="11.1" hidden="1" customHeight="1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760"/>
    </row>
    <row r="11" spans="2:23" ht="39" customHeight="1">
      <c r="B11" s="1086" t="s">
        <v>870</v>
      </c>
      <c r="C11" s="1086"/>
      <c r="D11" s="1095" t="s">
        <v>871</v>
      </c>
      <c r="E11" s="1095" t="s">
        <v>872</v>
      </c>
      <c r="F11" s="1095" t="s">
        <v>873</v>
      </c>
      <c r="G11" s="1095" t="s">
        <v>197</v>
      </c>
      <c r="H11" s="1095" t="s">
        <v>198</v>
      </c>
      <c r="I11" s="1095" t="s">
        <v>199</v>
      </c>
      <c r="J11" s="1095" t="s">
        <v>200</v>
      </c>
      <c r="K11" s="1095" t="s">
        <v>201</v>
      </c>
      <c r="L11" s="1095" t="s">
        <v>202</v>
      </c>
      <c r="M11" s="1095" t="s">
        <v>874</v>
      </c>
      <c r="N11" s="1095" t="s">
        <v>875</v>
      </c>
      <c r="O11" s="1095" t="s">
        <v>876</v>
      </c>
      <c r="P11" s="1095" t="s">
        <v>877</v>
      </c>
      <c r="Q11" s="1095" t="s">
        <v>878</v>
      </c>
      <c r="R11" s="1086" t="s">
        <v>879</v>
      </c>
      <c r="S11" s="1086"/>
      <c r="T11" s="1091" t="s">
        <v>880</v>
      </c>
      <c r="U11" s="1092"/>
      <c r="V11" s="1092"/>
      <c r="W11" s="1093"/>
    </row>
    <row r="12" spans="2:23" ht="19.5" customHeight="1">
      <c r="B12" s="1026" t="s">
        <v>886</v>
      </c>
      <c r="C12" s="1027"/>
      <c r="D12" s="1027"/>
      <c r="E12" s="1027"/>
      <c r="F12" s="1027"/>
      <c r="G12" s="1027"/>
      <c r="H12" s="1027"/>
      <c r="I12" s="1027"/>
      <c r="J12" s="1027"/>
      <c r="K12" s="1027"/>
      <c r="L12" s="1027"/>
      <c r="M12" s="1027"/>
      <c r="N12" s="1027"/>
      <c r="O12" s="1027"/>
      <c r="P12" s="1027"/>
      <c r="Q12" s="1027"/>
      <c r="R12" s="1027"/>
      <c r="S12" s="1027"/>
      <c r="T12" s="1027"/>
      <c r="U12" s="1027"/>
      <c r="V12" s="1027"/>
      <c r="W12" s="1028"/>
    </row>
    <row r="13" spans="2:23" ht="54.75" customHeight="1">
      <c r="B13" s="1011" t="s">
        <v>887</v>
      </c>
      <c r="C13" s="1012"/>
      <c r="D13" s="57" t="s">
        <v>107</v>
      </c>
      <c r="E13" s="57">
        <v>35.9</v>
      </c>
      <c r="F13" s="57">
        <v>2016</v>
      </c>
      <c r="G13" s="56" t="e">
        <f>E13*(1-G$25)</f>
        <v>#REF!</v>
      </c>
      <c r="H13" s="56" t="e">
        <f>IF(H$25=0,G13,G13*(1-H$25))</f>
        <v>#REF!</v>
      </c>
      <c r="I13" s="56" t="e">
        <f t="shared" ref="I13:Q13" si="0">IF(I$25=0,H13,H13*(1-I$25))</f>
        <v>#REF!</v>
      </c>
      <c r="J13" s="363" t="e">
        <f t="shared" si="0"/>
        <v>#REF!</v>
      </c>
      <c r="K13" s="363" t="e">
        <f t="shared" si="0"/>
        <v>#REF!</v>
      </c>
      <c r="L13" s="56" t="e">
        <f t="shared" si="0"/>
        <v>#REF!</v>
      </c>
      <c r="M13" s="56" t="e">
        <f t="shared" si="0"/>
        <v>#REF!</v>
      </c>
      <c r="N13" s="56" t="e">
        <f t="shared" si="0"/>
        <v>#REF!</v>
      </c>
      <c r="O13" s="56" t="e">
        <f t="shared" si="0"/>
        <v>#REF!</v>
      </c>
      <c r="P13" s="56" t="e">
        <f t="shared" si="0"/>
        <v>#REF!</v>
      </c>
      <c r="Q13" s="56" t="e">
        <f t="shared" si="0"/>
        <v>#REF!</v>
      </c>
      <c r="R13" s="1011" t="s">
        <v>888</v>
      </c>
      <c r="S13" s="1012"/>
      <c r="T13" s="1013" t="s">
        <v>889</v>
      </c>
      <c r="U13" s="1014"/>
      <c r="V13" s="1014"/>
      <c r="W13" s="1015"/>
    </row>
    <row r="14" spans="2:23" ht="20.25" customHeight="1">
      <c r="B14" s="1029" t="s">
        <v>890</v>
      </c>
      <c r="C14" s="1188"/>
      <c r="D14" s="1188"/>
      <c r="E14" s="1188"/>
      <c r="F14" s="1188"/>
      <c r="G14" s="1188"/>
      <c r="H14" s="1188"/>
      <c r="I14" s="1188"/>
      <c r="J14" s="1188"/>
      <c r="K14" s="1188"/>
      <c r="L14" s="1188"/>
      <c r="M14" s="1188"/>
      <c r="N14" s="1188"/>
      <c r="O14" s="1188"/>
      <c r="P14" s="1188"/>
      <c r="Q14" s="1188"/>
      <c r="R14" s="1188"/>
      <c r="S14" s="1188"/>
      <c r="T14" s="1188"/>
      <c r="U14" s="1188"/>
      <c r="V14" s="1188"/>
      <c r="W14" s="1188"/>
    </row>
    <row r="15" spans="2:23" ht="39" customHeight="1">
      <c r="B15" s="1086" t="s">
        <v>870</v>
      </c>
      <c r="C15" s="1086"/>
      <c r="D15" s="1095" t="s">
        <v>871</v>
      </c>
      <c r="E15" s="1095" t="s">
        <v>872</v>
      </c>
      <c r="F15" s="1095" t="s">
        <v>873</v>
      </c>
      <c r="G15" s="1095" t="s">
        <v>197</v>
      </c>
      <c r="H15" s="1095" t="s">
        <v>198</v>
      </c>
      <c r="I15" s="1095" t="s">
        <v>199</v>
      </c>
      <c r="J15" s="1095" t="s">
        <v>200</v>
      </c>
      <c r="K15" s="1095" t="s">
        <v>201</v>
      </c>
      <c r="L15" s="1095" t="s">
        <v>202</v>
      </c>
      <c r="M15" s="1095" t="s">
        <v>874</v>
      </c>
      <c r="N15" s="1095" t="s">
        <v>875</v>
      </c>
      <c r="O15" s="1095" t="s">
        <v>876</v>
      </c>
      <c r="P15" s="1095" t="s">
        <v>877</v>
      </c>
      <c r="Q15" s="1095" t="s">
        <v>878</v>
      </c>
      <c r="R15" s="1086" t="s">
        <v>879</v>
      </c>
      <c r="S15" s="1086"/>
      <c r="T15" s="1091" t="s">
        <v>880</v>
      </c>
      <c r="U15" s="1092"/>
      <c r="V15" s="1092"/>
      <c r="W15" s="1093"/>
    </row>
    <row r="16" spans="2:23" ht="73.5" customHeight="1">
      <c r="B16" s="1016" t="s">
        <v>891</v>
      </c>
      <c r="C16" s="1017"/>
      <c r="D16" s="356" t="s">
        <v>107</v>
      </c>
      <c r="E16" s="356">
        <v>54.4</v>
      </c>
      <c r="F16" s="356">
        <v>2017</v>
      </c>
      <c r="G16" s="357" t="e">
        <f>E16*(1+G$25)</f>
        <v>#REF!</v>
      </c>
      <c r="H16" s="357" t="e">
        <f>IF(H$25=0,G16,G16*(1+H$25))</f>
        <v>#REF!</v>
      </c>
      <c r="I16" s="357" t="e">
        <f t="shared" ref="I16:P16" si="1">IF(I$25=0,H16,H16*(1+I$25))</f>
        <v>#REF!</v>
      </c>
      <c r="J16" s="362" t="e">
        <f t="shared" si="1"/>
        <v>#REF!</v>
      </c>
      <c r="K16" s="362" t="e">
        <f t="shared" si="1"/>
        <v>#REF!</v>
      </c>
      <c r="L16" s="357" t="e">
        <f t="shared" si="1"/>
        <v>#REF!</v>
      </c>
      <c r="M16" s="357" t="e">
        <f t="shared" si="1"/>
        <v>#REF!</v>
      </c>
      <c r="N16" s="357" t="e">
        <f t="shared" si="1"/>
        <v>#REF!</v>
      </c>
      <c r="O16" s="357" t="e">
        <f t="shared" si="1"/>
        <v>#REF!</v>
      </c>
      <c r="P16" s="357" t="e">
        <f t="shared" si="1"/>
        <v>#REF!</v>
      </c>
      <c r="Q16" s="357" t="e">
        <f>P16</f>
        <v>#REF!</v>
      </c>
      <c r="R16" s="1018" t="s">
        <v>892</v>
      </c>
      <c r="S16" s="1019"/>
      <c r="T16" s="1013" t="s">
        <v>893</v>
      </c>
      <c r="U16" s="1014"/>
      <c r="V16" s="1014"/>
      <c r="W16" s="1015"/>
    </row>
    <row r="17" spans="2:23" ht="19.5" customHeight="1">
      <c r="B17" s="1026" t="s">
        <v>894</v>
      </c>
      <c r="C17" s="1027"/>
      <c r="D17" s="1027"/>
      <c r="E17" s="1027"/>
      <c r="F17" s="1027"/>
      <c r="G17" s="1027"/>
      <c r="H17" s="1027"/>
      <c r="I17" s="1027"/>
      <c r="J17" s="1027"/>
      <c r="K17" s="1027"/>
      <c r="L17" s="1027"/>
      <c r="M17" s="1027"/>
      <c r="N17" s="1027"/>
      <c r="O17" s="1027"/>
      <c r="P17" s="1027"/>
      <c r="Q17" s="1027"/>
      <c r="R17" s="1027"/>
      <c r="S17" s="1027"/>
      <c r="T17" s="1027"/>
      <c r="U17" s="1027"/>
      <c r="V17" s="1027"/>
      <c r="W17" s="1028"/>
    </row>
    <row r="18" spans="2:23" ht="73.5" customHeight="1">
      <c r="B18" s="1024" t="s">
        <v>895</v>
      </c>
      <c r="C18" s="1025"/>
      <c r="D18" s="57" t="s">
        <v>896</v>
      </c>
      <c r="E18" s="57">
        <v>100.1</v>
      </c>
      <c r="F18" s="57">
        <v>2017</v>
      </c>
      <c r="G18" s="56" t="e">
        <f>E18*(1-G$25)</f>
        <v>#REF!</v>
      </c>
      <c r="H18" s="56" t="e">
        <f>IF(H$25=0,G18,G18*(1-H$25))</f>
        <v>#REF!</v>
      </c>
      <c r="I18" s="56" t="e">
        <f t="shared" ref="I18:P18" si="2">IF(I$25=0,H18,H18*(1-I$25))</f>
        <v>#REF!</v>
      </c>
      <c r="J18" s="56" t="e">
        <f t="shared" si="2"/>
        <v>#REF!</v>
      </c>
      <c r="K18" s="56" t="e">
        <f t="shared" si="2"/>
        <v>#REF!</v>
      </c>
      <c r="L18" s="56" t="e">
        <f t="shared" si="2"/>
        <v>#REF!</v>
      </c>
      <c r="M18" s="56" t="e">
        <f t="shared" si="2"/>
        <v>#REF!</v>
      </c>
      <c r="N18" s="56" t="e">
        <f t="shared" si="2"/>
        <v>#REF!</v>
      </c>
      <c r="O18" s="56" t="e">
        <f t="shared" si="2"/>
        <v>#REF!</v>
      </c>
      <c r="P18" s="56" t="e">
        <f t="shared" si="2"/>
        <v>#REF!</v>
      </c>
      <c r="Q18" s="56" t="e">
        <f>P18</f>
        <v>#REF!</v>
      </c>
      <c r="R18" s="1011" t="s">
        <v>897</v>
      </c>
      <c r="S18" s="1012"/>
      <c r="T18" s="1013" t="s">
        <v>898</v>
      </c>
      <c r="U18" s="1014"/>
      <c r="V18" s="1014"/>
      <c r="W18" s="1015"/>
    </row>
    <row r="19" spans="2:23" ht="19.5" customHeight="1">
      <c r="B19" s="1026" t="s">
        <v>899</v>
      </c>
      <c r="C19" s="1027"/>
      <c r="D19" s="1027"/>
      <c r="E19" s="1027"/>
      <c r="F19" s="1027"/>
      <c r="G19" s="1027"/>
      <c r="H19" s="1027"/>
      <c r="I19" s="1027"/>
      <c r="J19" s="1027"/>
      <c r="K19" s="1027"/>
      <c r="L19" s="1027"/>
      <c r="M19" s="1027"/>
      <c r="N19" s="1027"/>
      <c r="O19" s="1027"/>
      <c r="P19" s="1027"/>
      <c r="Q19" s="1027"/>
      <c r="R19" s="1027"/>
      <c r="S19" s="1027"/>
      <c r="T19" s="1027"/>
      <c r="U19" s="1027"/>
      <c r="V19" s="1027"/>
      <c r="W19" s="1028"/>
    </row>
    <row r="20" spans="2:23" ht="73.5" customHeight="1">
      <c r="B20" s="1024" t="s">
        <v>900</v>
      </c>
      <c r="C20" s="1025"/>
      <c r="D20" s="57" t="s">
        <v>107</v>
      </c>
      <c r="E20" s="359">
        <f>E7*0.25</f>
        <v>3.2250000000000001</v>
      </c>
      <c r="F20" s="57">
        <v>2017</v>
      </c>
      <c r="G20" s="56" t="e">
        <f>E20*(1+G$25)</f>
        <v>#REF!</v>
      </c>
      <c r="H20" s="56" t="e">
        <f>IF(H$25=0,G20,G20*(1+H$25))</f>
        <v>#REF!</v>
      </c>
      <c r="I20" s="56" t="e">
        <f t="shared" ref="I20:P20" si="3">IF(I$25=0,H20,H20*(1+I$25))</f>
        <v>#REF!</v>
      </c>
      <c r="J20" s="56" t="e">
        <f t="shared" si="3"/>
        <v>#REF!</v>
      </c>
      <c r="K20" s="56" t="e">
        <f t="shared" si="3"/>
        <v>#REF!</v>
      </c>
      <c r="L20" s="56" t="e">
        <f t="shared" si="3"/>
        <v>#REF!</v>
      </c>
      <c r="M20" s="56" t="e">
        <f t="shared" si="3"/>
        <v>#REF!</v>
      </c>
      <c r="N20" s="56" t="e">
        <f t="shared" si="3"/>
        <v>#REF!</v>
      </c>
      <c r="O20" s="56" t="e">
        <f t="shared" si="3"/>
        <v>#REF!</v>
      </c>
      <c r="P20" s="56" t="e">
        <f t="shared" si="3"/>
        <v>#REF!</v>
      </c>
      <c r="Q20" s="56" t="e">
        <f>P20</f>
        <v>#REF!</v>
      </c>
      <c r="R20" s="1011" t="s">
        <v>892</v>
      </c>
      <c r="S20" s="1012"/>
      <c r="T20" s="1013" t="s">
        <v>901</v>
      </c>
      <c r="U20" s="1014"/>
      <c r="V20" s="1014"/>
      <c r="W20" s="1015"/>
    </row>
    <row r="23" spans="2:23">
      <c r="B23" s="760" t="s">
        <v>902</v>
      </c>
      <c r="C23" s="760"/>
      <c r="D23" s="760"/>
      <c r="E23" s="760"/>
      <c r="F23" s="76" t="e">
        <f>#REF!</f>
        <v>#REF!</v>
      </c>
      <c r="G23" s="76" t="e">
        <f>#REF!</f>
        <v>#REF!</v>
      </c>
      <c r="H23" s="76" t="e">
        <f>#REF!</f>
        <v>#REF!</v>
      </c>
      <c r="I23" s="76" t="e">
        <f>#REF!</f>
        <v>#REF!</v>
      </c>
      <c r="J23" s="76" t="e">
        <f>#REF!</f>
        <v>#REF!</v>
      </c>
      <c r="K23" s="360" t="e">
        <f>#REF!</f>
        <v>#REF!</v>
      </c>
      <c r="L23" s="76" t="e">
        <f>#REF!</f>
        <v>#REF!</v>
      </c>
      <c r="M23" s="76" t="e">
        <f>#REF!</f>
        <v>#REF!</v>
      </c>
      <c r="N23" s="76" t="e">
        <f>#REF!</f>
        <v>#REF!</v>
      </c>
      <c r="O23" s="76" t="e">
        <f>#REF!</f>
        <v>#REF!</v>
      </c>
      <c r="P23" s="76" t="e">
        <f>#REF!</f>
        <v>#REF!</v>
      </c>
      <c r="Q23" s="760"/>
      <c r="R23" s="760"/>
      <c r="S23" s="760"/>
      <c r="T23" s="760"/>
      <c r="U23" s="760"/>
      <c r="V23" s="760"/>
      <c r="W23" s="760"/>
    </row>
    <row r="24" spans="2:23">
      <c r="B24" s="760" t="s">
        <v>903</v>
      </c>
      <c r="C24" s="760"/>
      <c r="D24" s="760"/>
      <c r="E24" s="760"/>
      <c r="F24" s="760"/>
      <c r="G24" s="760" t="e">
        <f>(G23-F23)/F23</f>
        <v>#REF!</v>
      </c>
      <c r="H24" s="760" t="e">
        <f t="shared" ref="H24:P24" si="4">(H23-G23)/G23</f>
        <v>#REF!</v>
      </c>
      <c r="I24" s="760" t="e">
        <f t="shared" si="4"/>
        <v>#REF!</v>
      </c>
      <c r="J24" s="760" t="e">
        <f t="shared" si="4"/>
        <v>#REF!</v>
      </c>
      <c r="K24" s="760" t="e">
        <f t="shared" si="4"/>
        <v>#REF!</v>
      </c>
      <c r="L24" s="760" t="e">
        <f t="shared" si="4"/>
        <v>#REF!</v>
      </c>
      <c r="M24" s="760" t="e">
        <f t="shared" si="4"/>
        <v>#REF!</v>
      </c>
      <c r="N24" s="760" t="e">
        <f t="shared" si="4"/>
        <v>#REF!</v>
      </c>
      <c r="O24" s="760" t="e">
        <f t="shared" si="4"/>
        <v>#REF!</v>
      </c>
      <c r="P24" s="760" t="e">
        <f t="shared" si="4"/>
        <v>#REF!</v>
      </c>
      <c r="Q24" s="760"/>
      <c r="R24" s="760"/>
      <c r="S24" s="760"/>
      <c r="T24" s="760"/>
      <c r="U24" s="760"/>
      <c r="V24" s="760"/>
      <c r="W24" s="760"/>
    </row>
    <row r="25" spans="2:23">
      <c r="B25" s="760" t="s">
        <v>904</v>
      </c>
      <c r="C25" s="760"/>
      <c r="D25" s="760"/>
      <c r="E25" s="760"/>
      <c r="F25" s="760"/>
      <c r="G25" s="358" t="e">
        <f>IF(G24&lt;0,0,G24)</f>
        <v>#REF!</v>
      </c>
      <c r="H25" s="358" t="e">
        <f t="shared" ref="H25:P25" si="5">IF(H24&lt;0,0,H24)</f>
        <v>#REF!</v>
      </c>
      <c r="I25" s="358" t="e">
        <f t="shared" si="5"/>
        <v>#REF!</v>
      </c>
      <c r="J25" s="358" t="e">
        <f t="shared" si="5"/>
        <v>#REF!</v>
      </c>
      <c r="K25" s="361" t="e">
        <f t="shared" si="5"/>
        <v>#REF!</v>
      </c>
      <c r="L25" s="358" t="e">
        <f t="shared" si="5"/>
        <v>#REF!</v>
      </c>
      <c r="M25" s="358" t="e">
        <f t="shared" si="5"/>
        <v>#REF!</v>
      </c>
      <c r="N25" s="358" t="e">
        <f t="shared" si="5"/>
        <v>#REF!</v>
      </c>
      <c r="O25" s="358" t="e">
        <f t="shared" si="5"/>
        <v>#REF!</v>
      </c>
      <c r="P25" s="358" t="e">
        <f t="shared" si="5"/>
        <v>#REF!</v>
      </c>
      <c r="Q25" s="760"/>
      <c r="R25" s="760"/>
      <c r="S25" s="760"/>
      <c r="T25" s="760"/>
      <c r="U25" s="760"/>
      <c r="V25" s="760"/>
      <c r="W25" s="760"/>
    </row>
  </sheetData>
  <mergeCells count="33">
    <mergeCell ref="B1:V1"/>
    <mergeCell ref="B3:C3"/>
    <mergeCell ref="D3:W3"/>
    <mergeCell ref="T5:W5"/>
    <mergeCell ref="B6:W6"/>
    <mergeCell ref="B5:C5"/>
    <mergeCell ref="R5:S5"/>
    <mergeCell ref="B20:C20"/>
    <mergeCell ref="R20:S20"/>
    <mergeCell ref="B9:W9"/>
    <mergeCell ref="B19:W19"/>
    <mergeCell ref="T20:W20"/>
    <mergeCell ref="B11:C11"/>
    <mergeCell ref="T16:W16"/>
    <mergeCell ref="B12:W12"/>
    <mergeCell ref="B15:C15"/>
    <mergeCell ref="T15:W15"/>
    <mergeCell ref="T13:W13"/>
    <mergeCell ref="B14:W14"/>
    <mergeCell ref="R15:S15"/>
    <mergeCell ref="B17:W17"/>
    <mergeCell ref="R16:S16"/>
    <mergeCell ref="B18:C18"/>
    <mergeCell ref="R18:S18"/>
    <mergeCell ref="T18:W18"/>
    <mergeCell ref="B16:C16"/>
    <mergeCell ref="R7:S7"/>
    <mergeCell ref="B7:C7"/>
    <mergeCell ref="R11:S11"/>
    <mergeCell ref="B13:C13"/>
    <mergeCell ref="T11:W11"/>
    <mergeCell ref="R13:S13"/>
    <mergeCell ref="T7:W7"/>
  </mergeCells>
  <phoneticPr fontId="2" type="noConversion"/>
  <pageMargins left="0.75" right="0.75" top="1" bottom="1" header="0" footer="0"/>
  <pageSetup paperSize="9" orientation="portrait" horizontalDpi="0" verticalDpi="0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2">
    <pageSetUpPr fitToPage="1"/>
  </sheetPr>
  <dimension ref="A1:AB85"/>
  <sheetViews>
    <sheetView tabSelected="1" zoomScale="60" zoomScaleNormal="60" zoomScaleSheetLayoutView="70" workbookViewId="0">
      <pane xSplit="2" ySplit="7" topLeftCell="C8" activePane="bottomRight" state="frozen"/>
      <selection pane="bottomRight" activeCell="E78" sqref="E78"/>
      <selection pane="bottomLeft" activeCell="A4" sqref="A4"/>
      <selection pane="topRight" activeCell="C1" sqref="C1"/>
    </sheetView>
  </sheetViews>
  <sheetFormatPr defaultColWidth="10.28515625" defaultRowHeight="13.15" outlineLevelRow="1" outlineLevelCol="1"/>
  <cols>
    <col min="1" max="1" width="37.42578125" style="696" customWidth="1"/>
    <col min="2" max="2" width="14.7109375" style="567" customWidth="1"/>
    <col min="3" max="3" width="35.140625" style="567" customWidth="1" outlineLevel="1"/>
    <col min="4" max="4" width="13.85546875" style="567" customWidth="1" outlineLevel="1"/>
    <col min="5" max="5" width="10.28515625" style="567" customWidth="1" outlineLevel="1"/>
    <col min="6" max="6" width="9.7109375" style="567" customWidth="1" outlineLevel="1"/>
    <col min="7" max="7" width="13.42578125" style="567" customWidth="1" outlineLevel="1"/>
    <col min="8" max="8" width="28.85546875" style="567" customWidth="1"/>
    <col min="9" max="9" width="14.7109375" style="567" customWidth="1"/>
    <col min="10" max="10" width="9" style="567" customWidth="1"/>
    <col min="11" max="11" width="9.28515625" style="567" customWidth="1"/>
    <col min="12" max="12" width="11.28515625" style="567" bestFit="1" customWidth="1"/>
    <col min="13" max="13" width="27.42578125" style="567" customWidth="1"/>
    <col min="14" max="14" width="12.42578125" style="567" customWidth="1"/>
    <col min="15" max="15" width="9.42578125" style="567" bestFit="1" customWidth="1"/>
    <col min="16" max="16" width="11.42578125" style="567" customWidth="1"/>
    <col min="17" max="17" width="28" style="567" customWidth="1"/>
    <col min="18" max="18" width="9.42578125" style="567" bestFit="1" customWidth="1"/>
    <col min="19" max="19" width="11.42578125" style="567" customWidth="1"/>
    <col min="20" max="20" width="10.140625" style="567" bestFit="1" customWidth="1"/>
    <col min="21" max="21" width="28" style="567" hidden="1" customWidth="1" outlineLevel="1"/>
    <col min="22" max="22" width="9.140625" style="567" hidden="1" customWidth="1" outlineLevel="1"/>
    <col min="23" max="23" width="8.140625" style="567" hidden="1" customWidth="1" outlineLevel="1"/>
    <col min="24" max="24" width="11.28515625" style="567" hidden="1" customWidth="1" outlineLevel="1"/>
    <col min="25" max="25" width="28" style="567" customWidth="1" collapsed="1"/>
    <col min="26" max="26" width="9.42578125" style="567" bestFit="1" customWidth="1"/>
    <col min="27" max="27" width="11.42578125" style="567" customWidth="1"/>
    <col min="28" max="28" width="10.140625" style="567" bestFit="1" customWidth="1"/>
    <col min="29" max="16384" width="10.28515625" style="567"/>
  </cols>
  <sheetData>
    <row r="1" spans="1:28" ht="13.9" thickBot="1">
      <c r="A1" s="565" t="s">
        <v>0</v>
      </c>
      <c r="B1" s="566">
        <f>B2+B3+B4</f>
        <v>33249999.518072292</v>
      </c>
      <c r="C1" s="565" t="s">
        <v>1</v>
      </c>
      <c r="D1" s="566">
        <f>B8</f>
        <v>28825987.771084338</v>
      </c>
      <c r="E1" s="868">
        <v>1</v>
      </c>
      <c r="F1" s="869"/>
      <c r="G1" s="869"/>
      <c r="H1" s="869"/>
      <c r="I1" s="869"/>
      <c r="J1" s="869"/>
      <c r="K1" s="869"/>
      <c r="L1" s="869"/>
      <c r="M1" s="869"/>
      <c r="N1" s="869"/>
      <c r="O1" s="869"/>
      <c r="P1" s="869"/>
      <c r="Q1" s="869"/>
      <c r="R1" s="869"/>
      <c r="S1" s="869"/>
      <c r="T1" s="869"/>
      <c r="U1" s="869"/>
      <c r="V1" s="869"/>
      <c r="W1" s="869"/>
      <c r="X1" s="869"/>
      <c r="Y1" s="870"/>
      <c r="Z1" s="870"/>
      <c r="AA1" s="870"/>
      <c r="AB1" s="870"/>
    </row>
    <row r="2" spans="1:28" ht="13.9" thickBot="1">
      <c r="A2" s="565" t="s">
        <v>2</v>
      </c>
      <c r="B2" s="566">
        <f>B8+B30</f>
        <v>30217918.771084338</v>
      </c>
      <c r="C2" s="565" t="s">
        <v>3</v>
      </c>
      <c r="D2" s="566">
        <f>B30</f>
        <v>1391931</v>
      </c>
      <c r="E2" s="868"/>
      <c r="F2" s="869"/>
      <c r="G2" s="869"/>
      <c r="H2" s="869"/>
      <c r="I2" s="869"/>
      <c r="J2" s="869"/>
      <c r="K2" s="869"/>
      <c r="L2" s="869"/>
      <c r="M2" s="869"/>
      <c r="N2" s="869"/>
      <c r="O2" s="869"/>
      <c r="P2" s="869"/>
      <c r="Q2" s="869"/>
      <c r="R2" s="869"/>
      <c r="S2" s="869"/>
      <c r="T2" s="869"/>
      <c r="U2" s="869"/>
      <c r="V2" s="869"/>
      <c r="W2" s="869"/>
      <c r="X2" s="869"/>
      <c r="Y2" s="870"/>
      <c r="Z2" s="870"/>
      <c r="AA2" s="870"/>
      <c r="AB2" s="870"/>
    </row>
    <row r="3" spans="1:28" ht="13.9" thickBot="1">
      <c r="A3" s="565" t="s">
        <v>4</v>
      </c>
      <c r="B3" s="566">
        <f>B63</f>
        <v>3032080.7469879519</v>
      </c>
      <c r="C3" s="565"/>
      <c r="D3" s="566"/>
      <c r="E3" s="868"/>
      <c r="F3" s="869"/>
      <c r="G3" s="869"/>
      <c r="H3" s="869"/>
      <c r="I3" s="869"/>
      <c r="J3" s="869"/>
      <c r="K3" s="869"/>
      <c r="L3" s="869"/>
      <c r="M3" s="869"/>
      <c r="N3" s="869"/>
      <c r="O3" s="869"/>
      <c r="P3" s="869"/>
      <c r="Q3" s="869"/>
      <c r="R3" s="869"/>
      <c r="S3" s="869"/>
      <c r="T3" s="869"/>
      <c r="U3" s="869"/>
      <c r="V3" s="869"/>
      <c r="W3" s="869"/>
      <c r="X3" s="869"/>
      <c r="Y3" s="870"/>
      <c r="Z3" s="870"/>
      <c r="AA3" s="870"/>
      <c r="AB3" s="870"/>
    </row>
    <row r="4" spans="1:28" ht="15.75" customHeight="1" thickBot="1">
      <c r="A4" s="568"/>
      <c r="B4" s="569"/>
      <c r="C4" s="568" t="s">
        <v>6</v>
      </c>
      <c r="D4" s="569">
        <f>SUM(D1:D3)</f>
        <v>30217918.771084338</v>
      </c>
      <c r="E4" s="871"/>
      <c r="F4" s="872"/>
      <c r="G4" s="872"/>
      <c r="H4" s="872"/>
      <c r="I4" s="872"/>
      <c r="J4" s="872"/>
      <c r="K4" s="872"/>
      <c r="L4" s="872"/>
      <c r="M4" s="872"/>
      <c r="N4" s="872"/>
      <c r="O4" s="872"/>
      <c r="P4" s="872"/>
      <c r="Q4" s="872"/>
      <c r="R4" s="872"/>
      <c r="S4" s="872"/>
      <c r="T4" s="872"/>
      <c r="U4" s="872"/>
      <c r="V4" s="872"/>
      <c r="W4" s="872"/>
      <c r="X4" s="872"/>
      <c r="Y4" s="873"/>
      <c r="Z4" s="873"/>
      <c r="AA4" s="873"/>
      <c r="AB4" s="873"/>
    </row>
    <row r="5" spans="1:28" ht="8.25" customHeight="1">
      <c r="A5" s="874" t="s">
        <v>7</v>
      </c>
      <c r="B5" s="875"/>
      <c r="C5" s="880" t="s">
        <v>9</v>
      </c>
      <c r="D5" s="881"/>
      <c r="E5" s="881"/>
      <c r="F5" s="881"/>
      <c r="G5" s="882"/>
      <c r="H5" s="885" t="s">
        <v>10</v>
      </c>
      <c r="I5" s="886"/>
      <c r="J5" s="886"/>
      <c r="K5" s="886"/>
      <c r="L5" s="886"/>
      <c r="M5" s="889" t="s">
        <v>11</v>
      </c>
      <c r="N5" s="890"/>
      <c r="O5" s="890"/>
      <c r="P5" s="890"/>
      <c r="Q5" s="889" t="s">
        <v>12</v>
      </c>
      <c r="R5" s="890"/>
      <c r="S5" s="890"/>
      <c r="T5" s="892"/>
      <c r="U5" s="893" t="s">
        <v>13</v>
      </c>
      <c r="V5" s="894"/>
      <c r="W5" s="894"/>
      <c r="X5" s="894"/>
      <c r="Y5" s="889" t="s">
        <v>13</v>
      </c>
      <c r="Z5" s="890"/>
      <c r="AA5" s="890"/>
      <c r="AB5" s="892"/>
    </row>
    <row r="6" spans="1:28" ht="13.9" thickBot="1">
      <c r="A6" s="876"/>
      <c r="B6" s="877"/>
      <c r="C6" s="883"/>
      <c r="D6" s="883"/>
      <c r="E6" s="883"/>
      <c r="F6" s="883"/>
      <c r="G6" s="884"/>
      <c r="H6" s="887"/>
      <c r="I6" s="888"/>
      <c r="J6" s="888"/>
      <c r="K6" s="888"/>
      <c r="L6" s="888"/>
      <c r="M6" s="570"/>
      <c r="N6" s="571"/>
      <c r="O6" s="571"/>
      <c r="P6" s="571"/>
      <c r="Q6" s="570"/>
      <c r="R6" s="571"/>
      <c r="S6" s="571"/>
      <c r="T6" s="572"/>
      <c r="U6" s="573"/>
      <c r="V6" s="571"/>
      <c r="W6" s="571"/>
      <c r="X6" s="571"/>
      <c r="Y6" s="570"/>
      <c r="Z6" s="571"/>
      <c r="AA6" s="571"/>
      <c r="AB6" s="572"/>
    </row>
    <row r="7" spans="1:28" ht="29.25" customHeight="1" thickBot="1">
      <c r="A7" s="878"/>
      <c r="B7" s="879"/>
      <c r="C7" s="574" t="s">
        <v>14</v>
      </c>
      <c r="D7" s="575" t="s">
        <v>15</v>
      </c>
      <c r="E7" s="576" t="s">
        <v>16</v>
      </c>
      <c r="F7" s="576" t="s">
        <v>17</v>
      </c>
      <c r="G7" s="577" t="s">
        <v>18</v>
      </c>
      <c r="H7" s="578" t="s">
        <v>14</v>
      </c>
      <c r="I7" s="579" t="s">
        <v>19</v>
      </c>
      <c r="J7" s="579" t="s">
        <v>20</v>
      </c>
      <c r="K7" s="579" t="s">
        <v>17</v>
      </c>
      <c r="L7" s="578" t="s">
        <v>18</v>
      </c>
      <c r="M7" s="578" t="s">
        <v>14</v>
      </c>
      <c r="N7" s="579" t="s">
        <v>19</v>
      </c>
      <c r="O7" s="578" t="s">
        <v>21</v>
      </c>
      <c r="P7" s="578" t="s">
        <v>18</v>
      </c>
      <c r="Q7" s="578" t="s">
        <v>14</v>
      </c>
      <c r="R7" s="579" t="s">
        <v>19</v>
      </c>
      <c r="S7" s="578" t="s">
        <v>21</v>
      </c>
      <c r="T7" s="580" t="s">
        <v>18</v>
      </c>
      <c r="U7" s="581" t="s">
        <v>14</v>
      </c>
      <c r="V7" s="582" t="s">
        <v>19</v>
      </c>
      <c r="W7" s="583" t="s">
        <v>22</v>
      </c>
      <c r="X7" s="583" t="s">
        <v>18</v>
      </c>
      <c r="Y7" s="578" t="s">
        <v>14</v>
      </c>
      <c r="Z7" s="579" t="s">
        <v>23</v>
      </c>
      <c r="AA7" s="578" t="s">
        <v>21</v>
      </c>
      <c r="AB7" s="580" t="s">
        <v>18</v>
      </c>
    </row>
    <row r="8" spans="1:28" ht="27" customHeight="1">
      <c r="A8" s="584" t="s">
        <v>24</v>
      </c>
      <c r="B8" s="585">
        <f>SUM(B10:B25)</f>
        <v>28825987.771084338</v>
      </c>
      <c r="C8" s="854" t="s">
        <v>157</v>
      </c>
      <c r="D8" s="855"/>
      <c r="E8" s="855"/>
      <c r="F8" s="855"/>
      <c r="G8" s="855"/>
      <c r="H8" s="855"/>
      <c r="I8" s="855"/>
      <c r="J8" s="855"/>
      <c r="K8" s="855"/>
      <c r="L8" s="855"/>
      <c r="M8" s="855"/>
      <c r="N8" s="855"/>
      <c r="O8" s="855"/>
      <c r="P8" s="855"/>
      <c r="Q8" s="855"/>
      <c r="R8" s="855"/>
      <c r="S8" s="855"/>
      <c r="T8" s="855"/>
      <c r="U8" s="855"/>
      <c r="V8" s="855"/>
      <c r="W8" s="855"/>
      <c r="X8" s="855"/>
      <c r="Y8" s="1040"/>
      <c r="Z8" s="1040"/>
      <c r="AA8" s="1040"/>
      <c r="AB8" s="1040"/>
    </row>
    <row r="9" spans="1:28" ht="13.9" thickBot="1">
      <c r="A9" s="586"/>
      <c r="B9" s="763"/>
      <c r="C9" s="763"/>
      <c r="D9" s="763"/>
      <c r="E9" s="763"/>
      <c r="F9" s="763"/>
      <c r="G9" s="763"/>
      <c r="H9" s="763"/>
      <c r="I9" s="763"/>
      <c r="J9" s="763"/>
      <c r="K9" s="763"/>
      <c r="L9" s="763"/>
      <c r="M9" s="763"/>
      <c r="N9" s="763"/>
      <c r="O9" s="763"/>
      <c r="P9" s="763"/>
      <c r="Q9" s="763"/>
      <c r="R9" s="763"/>
      <c r="S9" s="763"/>
      <c r="T9" s="587"/>
      <c r="U9" s="587"/>
      <c r="V9" s="587"/>
      <c r="W9" s="587"/>
      <c r="X9" s="587"/>
      <c r="Y9" s="564"/>
      <c r="Z9" s="564"/>
      <c r="AA9" s="564"/>
      <c r="AB9" s="564"/>
    </row>
    <row r="10" spans="1:28" ht="66">
      <c r="A10" s="856" t="s">
        <v>158</v>
      </c>
      <c r="B10" s="851">
        <f>SUM(G10:G14)+SUM(L10:L14)+SUM(P10:P14)+SUM(T10:T14)</f>
        <v>7678048.6144578317</v>
      </c>
      <c r="C10" s="588" t="s">
        <v>159</v>
      </c>
      <c r="D10" s="589">
        <f>Prices!B4</f>
        <v>3700</v>
      </c>
      <c r="E10" s="589">
        <v>48</v>
      </c>
      <c r="F10" s="589">
        <v>12</v>
      </c>
      <c r="G10" s="590">
        <f t="shared" ref="G10:G24" si="0">D10*E10*F10</f>
        <v>2131200</v>
      </c>
      <c r="H10" s="762" t="s">
        <v>160</v>
      </c>
      <c r="I10" s="591">
        <v>2629970</v>
      </c>
      <c r="J10" s="591">
        <v>1</v>
      </c>
      <c r="K10" s="591">
        <v>1</v>
      </c>
      <c r="L10" s="592">
        <f t="shared" ref="L10:L25" si="1">I10*J10*K10</f>
        <v>2629970</v>
      </c>
      <c r="M10" s="593" t="s">
        <v>161</v>
      </c>
      <c r="N10" s="589">
        <v>17651.204819277111</v>
      </c>
      <c r="O10" s="589">
        <v>1</v>
      </c>
      <c r="P10" s="590">
        <f t="shared" ref="P10:P24" si="2">N10*O10</f>
        <v>17651.204819277111</v>
      </c>
      <c r="Q10" s="594"/>
      <c r="R10" s="591"/>
      <c r="S10" s="595"/>
      <c r="T10" s="592">
        <f t="shared" ref="T10:T15" si="3">R10*S10</f>
        <v>0</v>
      </c>
      <c r="U10" s="596"/>
      <c r="V10" s="589"/>
      <c r="W10" s="589"/>
      <c r="X10" s="590">
        <f>V10*W10</f>
        <v>0</v>
      </c>
      <c r="Y10" s="594"/>
      <c r="Z10" s="591"/>
      <c r="AA10" s="595"/>
      <c r="AB10" s="592">
        <f t="shared" ref="AB10:AB15" si="4">Z10*AA10</f>
        <v>0</v>
      </c>
    </row>
    <row r="11" spans="1:28" ht="66" outlineLevel="1">
      <c r="A11" s="857"/>
      <c r="B11" s="852"/>
      <c r="C11" s="588"/>
      <c r="D11" s="597"/>
      <c r="E11" s="597"/>
      <c r="F11" s="597"/>
      <c r="G11" s="590">
        <f t="shared" si="0"/>
        <v>0</v>
      </c>
      <c r="H11" s="762" t="s">
        <v>162</v>
      </c>
      <c r="I11" s="598">
        <v>532270.78313253017</v>
      </c>
      <c r="J11" s="591">
        <v>1</v>
      </c>
      <c r="K11" s="598">
        <v>1</v>
      </c>
      <c r="L11" s="592">
        <f t="shared" si="1"/>
        <v>532270.78313253017</v>
      </c>
      <c r="M11" s="588"/>
      <c r="N11" s="597"/>
      <c r="O11" s="597"/>
      <c r="P11" s="590">
        <f t="shared" si="2"/>
        <v>0</v>
      </c>
      <c r="Q11" s="599"/>
      <c r="R11" s="598"/>
      <c r="S11" s="598"/>
      <c r="T11" s="592">
        <f t="shared" si="3"/>
        <v>0</v>
      </c>
      <c r="U11" s="600"/>
      <c r="V11" s="597"/>
      <c r="W11" s="597"/>
      <c r="X11" s="601"/>
      <c r="Y11" s="599"/>
      <c r="Z11" s="598"/>
      <c r="AA11" s="598"/>
      <c r="AB11" s="592">
        <f t="shared" si="4"/>
        <v>0</v>
      </c>
    </row>
    <row r="12" spans="1:28" ht="26.45" outlineLevel="1">
      <c r="A12" s="857"/>
      <c r="B12" s="852"/>
      <c r="C12" s="588"/>
      <c r="D12" s="597"/>
      <c r="E12" s="597"/>
      <c r="F12" s="597"/>
      <c r="G12" s="590">
        <f t="shared" si="0"/>
        <v>0</v>
      </c>
      <c r="H12" s="761" t="s">
        <v>163</v>
      </c>
      <c r="I12" s="598">
        <v>1142774.3975903615</v>
      </c>
      <c r="J12" s="591">
        <v>1</v>
      </c>
      <c r="K12" s="598">
        <v>1</v>
      </c>
      <c r="L12" s="592">
        <f t="shared" si="1"/>
        <v>1142774.3975903615</v>
      </c>
      <c r="M12" s="588"/>
      <c r="N12" s="597"/>
      <c r="O12" s="597"/>
      <c r="P12" s="590">
        <f t="shared" si="2"/>
        <v>0</v>
      </c>
      <c r="Q12" s="599"/>
      <c r="R12" s="598"/>
      <c r="S12" s="598"/>
      <c r="T12" s="592">
        <f t="shared" si="3"/>
        <v>0</v>
      </c>
      <c r="U12" s="600"/>
      <c r="V12" s="597"/>
      <c r="W12" s="597"/>
      <c r="X12" s="601"/>
      <c r="Y12" s="599"/>
      <c r="Z12" s="598"/>
      <c r="AA12" s="598"/>
      <c r="AB12" s="592">
        <f t="shared" si="4"/>
        <v>0</v>
      </c>
    </row>
    <row r="13" spans="1:28" ht="66" outlineLevel="1">
      <c r="A13" s="857"/>
      <c r="B13" s="852"/>
      <c r="C13" s="588"/>
      <c r="D13" s="597"/>
      <c r="E13" s="597"/>
      <c r="F13" s="597"/>
      <c r="G13" s="590">
        <f t="shared" si="0"/>
        <v>0</v>
      </c>
      <c r="H13" s="602" t="s">
        <v>164</v>
      </c>
      <c r="I13" s="598">
        <v>1224182.2289156627</v>
      </c>
      <c r="J13" s="591">
        <v>1</v>
      </c>
      <c r="K13" s="598">
        <v>1</v>
      </c>
      <c r="L13" s="592">
        <f t="shared" si="1"/>
        <v>1224182.2289156627</v>
      </c>
      <c r="M13" s="588"/>
      <c r="N13" s="597"/>
      <c r="O13" s="597"/>
      <c r="P13" s="590">
        <f t="shared" si="2"/>
        <v>0</v>
      </c>
      <c r="Q13" s="599"/>
      <c r="R13" s="598"/>
      <c r="S13" s="598"/>
      <c r="T13" s="592">
        <f t="shared" si="3"/>
        <v>0</v>
      </c>
      <c r="U13" s="600"/>
      <c r="V13" s="597"/>
      <c r="W13" s="597"/>
      <c r="X13" s="601"/>
      <c r="Y13" s="599"/>
      <c r="Z13" s="598"/>
      <c r="AA13" s="598"/>
      <c r="AB13" s="592">
        <f t="shared" si="4"/>
        <v>0</v>
      </c>
    </row>
    <row r="14" spans="1:28" ht="13.9" outlineLevel="1" thickBot="1">
      <c r="A14" s="857"/>
      <c r="B14" s="853"/>
      <c r="C14" s="588"/>
      <c r="D14" s="597"/>
      <c r="E14" s="597"/>
      <c r="F14" s="597"/>
      <c r="G14" s="590">
        <f t="shared" si="0"/>
        <v>0</v>
      </c>
      <c r="H14" s="602"/>
      <c r="I14" s="598"/>
      <c r="J14" s="591"/>
      <c r="K14" s="598"/>
      <c r="L14" s="592">
        <f t="shared" si="1"/>
        <v>0</v>
      </c>
      <c r="M14" s="588"/>
      <c r="N14" s="597"/>
      <c r="O14" s="597"/>
      <c r="P14" s="590">
        <f t="shared" si="2"/>
        <v>0</v>
      </c>
      <c r="Q14" s="599"/>
      <c r="R14" s="598"/>
      <c r="S14" s="598"/>
      <c r="T14" s="592">
        <f t="shared" si="3"/>
        <v>0</v>
      </c>
      <c r="U14" s="600"/>
      <c r="V14" s="597"/>
      <c r="W14" s="597"/>
      <c r="X14" s="601"/>
      <c r="Y14" s="599"/>
      <c r="Z14" s="598"/>
      <c r="AA14" s="598"/>
      <c r="AB14" s="592">
        <f t="shared" si="4"/>
        <v>0</v>
      </c>
    </row>
    <row r="15" spans="1:28" ht="119.45" thickBot="1">
      <c r="A15" s="858" t="s">
        <v>165</v>
      </c>
      <c r="B15" s="851">
        <f>SUM(G15:G19)+SUM(L15:L19)+SUM(P15:P19)+SUM(T15:T19)</f>
        <v>20180722.891566265</v>
      </c>
      <c r="C15" s="603"/>
      <c r="D15" s="604"/>
      <c r="E15" s="604"/>
      <c r="F15" s="604"/>
      <c r="G15" s="605">
        <f t="shared" si="0"/>
        <v>0</v>
      </c>
      <c r="H15" s="606" t="s">
        <v>166</v>
      </c>
      <c r="I15" s="607">
        <f>12800000/Prices!B37</f>
        <v>3855421.686746988</v>
      </c>
      <c r="J15" s="608">
        <v>1</v>
      </c>
      <c r="K15" s="608">
        <v>1</v>
      </c>
      <c r="L15" s="609">
        <f t="shared" si="1"/>
        <v>3855421.686746988</v>
      </c>
      <c r="M15" s="603" t="s">
        <v>167</v>
      </c>
      <c r="N15" s="604">
        <f>25200000/Prices!B37</f>
        <v>7590361.4457831327</v>
      </c>
      <c r="O15" s="604">
        <v>1</v>
      </c>
      <c r="P15" s="590">
        <f t="shared" si="2"/>
        <v>7590361.4457831327</v>
      </c>
      <c r="Q15" s="606"/>
      <c r="R15" s="607"/>
      <c r="S15" s="607"/>
      <c r="T15" s="609">
        <f t="shared" si="3"/>
        <v>0</v>
      </c>
      <c r="U15" s="610"/>
      <c r="V15" s="604"/>
      <c r="W15" s="604"/>
      <c r="X15" s="605">
        <f>V15*W15</f>
        <v>0</v>
      </c>
      <c r="Y15" s="606"/>
      <c r="Z15" s="607"/>
      <c r="AA15" s="607"/>
      <c r="AB15" s="609">
        <f t="shared" si="4"/>
        <v>0</v>
      </c>
    </row>
    <row r="16" spans="1:28" ht="264.60000000000002" thickBot="1">
      <c r="A16" s="859"/>
      <c r="B16" s="852"/>
      <c r="C16" s="603"/>
      <c r="D16" s="604"/>
      <c r="E16" s="604"/>
      <c r="F16" s="604"/>
      <c r="G16" s="605">
        <f t="shared" si="0"/>
        <v>0</v>
      </c>
      <c r="H16" s="606"/>
      <c r="I16" s="607"/>
      <c r="J16" s="608"/>
      <c r="K16" s="608"/>
      <c r="L16" s="609">
        <f t="shared" si="1"/>
        <v>0</v>
      </c>
      <c r="M16" s="603" t="s">
        <v>168</v>
      </c>
      <c r="N16" s="604">
        <f>29000000/Prices!B37</f>
        <v>8734939.7590361442</v>
      </c>
      <c r="O16" s="604">
        <v>1</v>
      </c>
      <c r="P16" s="590">
        <f t="shared" si="2"/>
        <v>8734939.7590361442</v>
      </c>
      <c r="Q16" s="606"/>
      <c r="R16" s="607"/>
      <c r="S16" s="607"/>
      <c r="T16" s="609">
        <f t="shared" ref="T16:T21" si="5">R16*S16</f>
        <v>0</v>
      </c>
      <c r="U16" s="610"/>
      <c r="V16" s="604"/>
      <c r="W16" s="604"/>
      <c r="X16" s="605">
        <f>V16*W16</f>
        <v>0</v>
      </c>
      <c r="Y16" s="606"/>
      <c r="Z16" s="607"/>
      <c r="AA16" s="607"/>
      <c r="AB16" s="609">
        <f t="shared" ref="AB16:AB21" si="6">Z16*AA16</f>
        <v>0</v>
      </c>
    </row>
    <row r="17" spans="1:28" ht="13.9" thickBot="1">
      <c r="A17" s="859"/>
      <c r="B17" s="852"/>
      <c r="C17" s="603"/>
      <c r="D17" s="604"/>
      <c r="E17" s="604"/>
      <c r="F17" s="604"/>
      <c r="G17" s="605">
        <f t="shared" si="0"/>
        <v>0</v>
      </c>
      <c r="H17" s="606"/>
      <c r="I17" s="607"/>
      <c r="J17" s="608"/>
      <c r="K17" s="608"/>
      <c r="L17" s="609">
        <f t="shared" si="1"/>
        <v>0</v>
      </c>
      <c r="M17" s="603"/>
      <c r="N17" s="604"/>
      <c r="O17" s="604"/>
      <c r="P17" s="590">
        <f t="shared" si="2"/>
        <v>0</v>
      </c>
      <c r="Q17" s="606"/>
      <c r="R17" s="607"/>
      <c r="S17" s="607"/>
      <c r="T17" s="592">
        <f t="shared" si="5"/>
        <v>0</v>
      </c>
      <c r="U17" s="610"/>
      <c r="V17" s="604"/>
      <c r="W17" s="604"/>
      <c r="X17" s="605"/>
      <c r="Y17" s="606"/>
      <c r="Z17" s="607"/>
      <c r="AA17" s="607"/>
      <c r="AB17" s="609">
        <f t="shared" si="6"/>
        <v>0</v>
      </c>
    </row>
    <row r="18" spans="1:28" ht="13.9" thickBot="1">
      <c r="A18" s="859"/>
      <c r="B18" s="852"/>
      <c r="C18" s="603"/>
      <c r="D18" s="604"/>
      <c r="E18" s="604"/>
      <c r="F18" s="604"/>
      <c r="G18" s="605">
        <f t="shared" si="0"/>
        <v>0</v>
      </c>
      <c r="H18" s="606"/>
      <c r="I18" s="607"/>
      <c r="J18" s="608"/>
      <c r="K18" s="608"/>
      <c r="L18" s="609">
        <f t="shared" si="1"/>
        <v>0</v>
      </c>
      <c r="M18" s="603"/>
      <c r="N18" s="604"/>
      <c r="O18" s="604"/>
      <c r="P18" s="590">
        <f t="shared" si="2"/>
        <v>0</v>
      </c>
      <c r="Q18" s="606"/>
      <c r="R18" s="607"/>
      <c r="S18" s="607"/>
      <c r="T18" s="592">
        <f t="shared" si="5"/>
        <v>0</v>
      </c>
      <c r="U18" s="610"/>
      <c r="V18" s="604"/>
      <c r="W18" s="604"/>
      <c r="X18" s="605"/>
      <c r="Y18" s="606"/>
      <c r="Z18" s="607"/>
      <c r="AA18" s="607"/>
      <c r="AB18" s="609">
        <f t="shared" si="6"/>
        <v>0</v>
      </c>
    </row>
    <row r="19" spans="1:28" ht="13.9" thickBot="1">
      <c r="A19" s="859"/>
      <c r="B19" s="853"/>
      <c r="C19" s="603"/>
      <c r="D19" s="604"/>
      <c r="E19" s="604"/>
      <c r="F19" s="604"/>
      <c r="G19" s="605">
        <f t="shared" si="0"/>
        <v>0</v>
      </c>
      <c r="H19" s="606"/>
      <c r="I19" s="607"/>
      <c r="J19" s="608"/>
      <c r="K19" s="608"/>
      <c r="L19" s="609">
        <f t="shared" si="1"/>
        <v>0</v>
      </c>
      <c r="M19" s="603"/>
      <c r="N19" s="604"/>
      <c r="O19" s="604"/>
      <c r="P19" s="590">
        <f t="shared" si="2"/>
        <v>0</v>
      </c>
      <c r="Q19" s="606"/>
      <c r="R19" s="607"/>
      <c r="S19" s="607"/>
      <c r="T19" s="592">
        <f t="shared" si="5"/>
        <v>0</v>
      </c>
      <c r="U19" s="610"/>
      <c r="V19" s="604"/>
      <c r="W19" s="604"/>
      <c r="X19" s="605"/>
      <c r="Y19" s="606"/>
      <c r="Z19" s="607"/>
      <c r="AA19" s="607"/>
      <c r="AB19" s="609">
        <f t="shared" si="6"/>
        <v>0</v>
      </c>
    </row>
    <row r="20" spans="1:28" ht="165.4" customHeight="1" thickBot="1">
      <c r="A20" s="866" t="s">
        <v>169</v>
      </c>
      <c r="B20" s="851">
        <f>SUM(G20:G24)+SUM(L20:L24)+SUM(P20:P24)+SUM(T20:T24)</f>
        <v>618271.38554216875</v>
      </c>
      <c r="C20" s="603" t="s">
        <v>170</v>
      </c>
      <c r="D20" s="604">
        <f>Prices!B4</f>
        <v>3700</v>
      </c>
      <c r="E20" s="604">
        <v>2</v>
      </c>
      <c r="F20" s="604">
        <v>1</v>
      </c>
      <c r="G20" s="605">
        <f t="shared" si="0"/>
        <v>7400</v>
      </c>
      <c r="H20" s="606" t="s">
        <v>171</v>
      </c>
      <c r="I20" s="607">
        <v>610871.38554216875</v>
      </c>
      <c r="J20" s="608">
        <v>1</v>
      </c>
      <c r="K20" s="608">
        <v>1</v>
      </c>
      <c r="L20" s="609">
        <f t="shared" si="1"/>
        <v>610871.38554216875</v>
      </c>
      <c r="M20" s="603"/>
      <c r="N20" s="604"/>
      <c r="O20" s="604"/>
      <c r="P20" s="605">
        <f t="shared" si="2"/>
        <v>0</v>
      </c>
      <c r="Q20" s="606"/>
      <c r="R20" s="607"/>
      <c r="S20" s="607"/>
      <c r="T20" s="592">
        <f t="shared" si="5"/>
        <v>0</v>
      </c>
      <c r="U20" s="610"/>
      <c r="V20" s="604"/>
      <c r="W20" s="604"/>
      <c r="X20" s="605">
        <f>V20*W20</f>
        <v>0</v>
      </c>
      <c r="Y20" s="606"/>
      <c r="Z20" s="607"/>
      <c r="AA20" s="607"/>
      <c r="AB20" s="592">
        <f t="shared" si="6"/>
        <v>0</v>
      </c>
    </row>
    <row r="21" spans="1:28" ht="165.4" customHeight="1" thickBot="1">
      <c r="A21" s="859"/>
      <c r="B21" s="852"/>
      <c r="C21" s="611"/>
      <c r="D21" s="612"/>
      <c r="E21" s="612"/>
      <c r="F21" s="612"/>
      <c r="G21" s="605">
        <f t="shared" si="0"/>
        <v>0</v>
      </c>
      <c r="H21" s="613"/>
      <c r="I21" s="614"/>
      <c r="J21" s="615"/>
      <c r="K21" s="615"/>
      <c r="L21" s="609">
        <f t="shared" si="1"/>
        <v>0</v>
      </c>
      <c r="M21" s="611"/>
      <c r="N21" s="612"/>
      <c r="O21" s="612"/>
      <c r="P21" s="605">
        <f t="shared" si="2"/>
        <v>0</v>
      </c>
      <c r="Q21" s="613"/>
      <c r="R21" s="614"/>
      <c r="S21" s="614"/>
      <c r="T21" s="592">
        <f t="shared" si="5"/>
        <v>0</v>
      </c>
      <c r="U21" s="616"/>
      <c r="V21" s="612"/>
      <c r="W21" s="612"/>
      <c r="X21" s="617"/>
      <c r="Y21" s="613"/>
      <c r="Z21" s="614"/>
      <c r="AA21" s="614"/>
      <c r="AB21" s="592">
        <f t="shared" si="6"/>
        <v>0</v>
      </c>
    </row>
    <row r="22" spans="1:28" ht="13.9" thickBot="1">
      <c r="A22" s="859"/>
      <c r="B22" s="852"/>
      <c r="C22" s="611"/>
      <c r="D22" s="612"/>
      <c r="E22" s="612"/>
      <c r="F22" s="612"/>
      <c r="G22" s="605">
        <f t="shared" si="0"/>
        <v>0</v>
      </c>
      <c r="H22" s="613"/>
      <c r="I22" s="614"/>
      <c r="J22" s="615"/>
      <c r="K22" s="615"/>
      <c r="L22" s="609">
        <f t="shared" si="1"/>
        <v>0</v>
      </c>
      <c r="M22" s="611"/>
      <c r="N22" s="612"/>
      <c r="O22" s="612"/>
      <c r="P22" s="605">
        <f t="shared" si="2"/>
        <v>0</v>
      </c>
      <c r="Q22" s="613"/>
      <c r="R22" s="614"/>
      <c r="S22" s="614"/>
      <c r="T22" s="609">
        <f t="shared" ref="T22:T29" si="7">R22*S22</f>
        <v>0</v>
      </c>
      <c r="U22" s="616"/>
      <c r="V22" s="612"/>
      <c r="W22" s="612"/>
      <c r="X22" s="617"/>
      <c r="Y22" s="613"/>
      <c r="Z22" s="614"/>
      <c r="AA22" s="614"/>
      <c r="AB22" s="609">
        <f t="shared" ref="AB22:AB29" si="8">Z22*AA22</f>
        <v>0</v>
      </c>
    </row>
    <row r="23" spans="1:28" ht="13.9" thickBot="1">
      <c r="A23" s="859"/>
      <c r="B23" s="852"/>
      <c r="C23" s="611"/>
      <c r="D23" s="612"/>
      <c r="E23" s="612"/>
      <c r="F23" s="612"/>
      <c r="G23" s="605">
        <f t="shared" si="0"/>
        <v>0</v>
      </c>
      <c r="H23" s="613"/>
      <c r="I23" s="614"/>
      <c r="J23" s="615"/>
      <c r="K23" s="615"/>
      <c r="L23" s="609">
        <f t="shared" si="1"/>
        <v>0</v>
      </c>
      <c r="M23" s="611"/>
      <c r="N23" s="612"/>
      <c r="O23" s="612"/>
      <c r="P23" s="605">
        <f t="shared" si="2"/>
        <v>0</v>
      </c>
      <c r="Q23" s="613"/>
      <c r="R23" s="614"/>
      <c r="S23" s="614"/>
      <c r="T23" s="609">
        <f t="shared" si="7"/>
        <v>0</v>
      </c>
      <c r="U23" s="616"/>
      <c r="V23" s="612"/>
      <c r="W23" s="612"/>
      <c r="X23" s="617"/>
      <c r="Y23" s="613"/>
      <c r="Z23" s="614"/>
      <c r="AA23" s="614"/>
      <c r="AB23" s="609">
        <f t="shared" si="8"/>
        <v>0</v>
      </c>
    </row>
    <row r="24" spans="1:28" ht="13.9" thickBot="1">
      <c r="A24" s="867"/>
      <c r="B24" s="853"/>
      <c r="C24" s="611"/>
      <c r="D24" s="612"/>
      <c r="E24" s="612"/>
      <c r="F24" s="612"/>
      <c r="G24" s="605">
        <f t="shared" si="0"/>
        <v>0</v>
      </c>
      <c r="H24" s="613"/>
      <c r="I24" s="614"/>
      <c r="J24" s="615"/>
      <c r="K24" s="615"/>
      <c r="L24" s="609">
        <f t="shared" si="1"/>
        <v>0</v>
      </c>
      <c r="M24" s="611"/>
      <c r="N24" s="612"/>
      <c r="O24" s="612"/>
      <c r="P24" s="605">
        <f t="shared" si="2"/>
        <v>0</v>
      </c>
      <c r="Q24" s="613"/>
      <c r="R24" s="614"/>
      <c r="S24" s="614"/>
      <c r="T24" s="609">
        <f t="shared" si="7"/>
        <v>0</v>
      </c>
      <c r="U24" s="616"/>
      <c r="V24" s="612"/>
      <c r="W24" s="612"/>
      <c r="X24" s="617"/>
      <c r="Y24" s="613"/>
      <c r="Z24" s="614"/>
      <c r="AA24" s="614"/>
      <c r="AB24" s="609">
        <f t="shared" si="8"/>
        <v>0</v>
      </c>
    </row>
    <row r="25" spans="1:28" ht="224.45">
      <c r="A25" s="858" t="s">
        <v>172</v>
      </c>
      <c r="B25" s="851">
        <f>SUM(G25:G29)+SUM(L25:L29)+SUM(T25:T29)</f>
        <v>348944.8795180723</v>
      </c>
      <c r="C25" s="603" t="s">
        <v>173</v>
      </c>
      <c r="D25" s="589">
        <f>Prices!B4</f>
        <v>3700</v>
      </c>
      <c r="E25" s="589">
        <v>2</v>
      </c>
      <c r="F25" s="589">
        <v>1</v>
      </c>
      <c r="G25" s="590">
        <f>D25*E25*F25</f>
        <v>7400</v>
      </c>
      <c r="H25" s="618" t="s">
        <v>174</v>
      </c>
      <c r="I25" s="591">
        <v>341544.8795180723</v>
      </c>
      <c r="J25" s="595">
        <v>1</v>
      </c>
      <c r="K25" s="595">
        <v>1</v>
      </c>
      <c r="L25" s="592">
        <f t="shared" si="1"/>
        <v>341544.8795180723</v>
      </c>
      <c r="M25" s="619"/>
      <c r="N25" s="589"/>
      <c r="O25" s="589"/>
      <c r="P25" s="620">
        <f>N25*O25</f>
        <v>0</v>
      </c>
      <c r="Q25" s="594"/>
      <c r="R25" s="591"/>
      <c r="S25" s="591"/>
      <c r="T25" s="592">
        <f t="shared" si="7"/>
        <v>0</v>
      </c>
      <c r="U25" s="621"/>
      <c r="V25" s="589"/>
      <c r="W25" s="589"/>
      <c r="X25" s="590">
        <f>V25*W25</f>
        <v>0</v>
      </c>
      <c r="Y25" s="594"/>
      <c r="Z25" s="591"/>
      <c r="AA25" s="591"/>
      <c r="AB25" s="592">
        <f t="shared" si="8"/>
        <v>0</v>
      </c>
    </row>
    <row r="26" spans="1:28">
      <c r="A26" s="891"/>
      <c r="B26" s="852"/>
      <c r="C26" s="593"/>
      <c r="D26" s="589"/>
      <c r="E26" s="589"/>
      <c r="F26" s="589"/>
      <c r="G26" s="590">
        <f>D26*E26*F26</f>
        <v>0</v>
      </c>
      <c r="H26" s="618"/>
      <c r="I26" s="591"/>
      <c r="J26" s="595"/>
      <c r="K26" s="595"/>
      <c r="L26" s="592"/>
      <c r="M26" s="619"/>
      <c r="N26" s="589"/>
      <c r="O26" s="589"/>
      <c r="P26" s="620">
        <f>N26*O26</f>
        <v>0</v>
      </c>
      <c r="Q26" s="594"/>
      <c r="R26" s="591"/>
      <c r="S26" s="591"/>
      <c r="T26" s="592">
        <f t="shared" si="7"/>
        <v>0</v>
      </c>
      <c r="U26" s="596"/>
      <c r="V26" s="589"/>
      <c r="W26" s="589"/>
      <c r="X26" s="590"/>
      <c r="Y26" s="594"/>
      <c r="Z26" s="591"/>
      <c r="AA26" s="591"/>
      <c r="AB26" s="592">
        <f t="shared" si="8"/>
        <v>0</v>
      </c>
    </row>
    <row r="27" spans="1:28">
      <c r="A27" s="891"/>
      <c r="B27" s="852"/>
      <c r="C27" s="593"/>
      <c r="D27" s="589"/>
      <c r="E27" s="589"/>
      <c r="F27" s="589"/>
      <c r="G27" s="590">
        <f>D27*E27*F27</f>
        <v>0</v>
      </c>
      <c r="H27" s="618"/>
      <c r="I27" s="591"/>
      <c r="J27" s="595"/>
      <c r="K27" s="595"/>
      <c r="L27" s="592"/>
      <c r="M27" s="619"/>
      <c r="N27" s="589"/>
      <c r="O27" s="589"/>
      <c r="P27" s="620">
        <f>N27*O27</f>
        <v>0</v>
      </c>
      <c r="Q27" s="594"/>
      <c r="R27" s="591"/>
      <c r="S27" s="591"/>
      <c r="T27" s="592">
        <f t="shared" si="7"/>
        <v>0</v>
      </c>
      <c r="U27" s="596"/>
      <c r="V27" s="589"/>
      <c r="W27" s="589"/>
      <c r="X27" s="590"/>
      <c r="Y27" s="594"/>
      <c r="Z27" s="591"/>
      <c r="AA27" s="591"/>
      <c r="AB27" s="592">
        <f t="shared" si="8"/>
        <v>0</v>
      </c>
    </row>
    <row r="28" spans="1:28">
      <c r="A28" s="891"/>
      <c r="B28" s="852"/>
      <c r="C28" s="593"/>
      <c r="D28" s="589"/>
      <c r="E28" s="589"/>
      <c r="F28" s="589"/>
      <c r="G28" s="590">
        <f>D28*E28*F28</f>
        <v>0</v>
      </c>
      <c r="H28" s="618"/>
      <c r="I28" s="591"/>
      <c r="J28" s="595"/>
      <c r="K28" s="595"/>
      <c r="L28" s="592"/>
      <c r="M28" s="619"/>
      <c r="N28" s="589"/>
      <c r="O28" s="589"/>
      <c r="P28" s="620">
        <f>N28*O28</f>
        <v>0</v>
      </c>
      <c r="Q28" s="594"/>
      <c r="R28" s="591"/>
      <c r="S28" s="591"/>
      <c r="T28" s="592">
        <f t="shared" si="7"/>
        <v>0</v>
      </c>
      <c r="U28" s="596"/>
      <c r="V28" s="589"/>
      <c r="W28" s="589"/>
      <c r="X28" s="590"/>
      <c r="Y28" s="594"/>
      <c r="Z28" s="591"/>
      <c r="AA28" s="591"/>
      <c r="AB28" s="592">
        <f t="shared" si="8"/>
        <v>0</v>
      </c>
    </row>
    <row r="29" spans="1:28">
      <c r="A29" s="891"/>
      <c r="B29" s="853"/>
      <c r="C29" s="593"/>
      <c r="D29" s="589"/>
      <c r="E29" s="589"/>
      <c r="F29" s="589"/>
      <c r="G29" s="590">
        <f>D29*E29*F29</f>
        <v>0</v>
      </c>
      <c r="H29" s="618"/>
      <c r="I29" s="591"/>
      <c r="J29" s="595"/>
      <c r="K29" s="595"/>
      <c r="L29" s="592"/>
      <c r="M29" s="619"/>
      <c r="N29" s="589"/>
      <c r="O29" s="589"/>
      <c r="P29" s="620">
        <f>N29*O29</f>
        <v>0</v>
      </c>
      <c r="Q29" s="594"/>
      <c r="R29" s="591"/>
      <c r="S29" s="591"/>
      <c r="T29" s="592">
        <f t="shared" si="7"/>
        <v>0</v>
      </c>
      <c r="U29" s="596"/>
      <c r="V29" s="589"/>
      <c r="W29" s="589"/>
      <c r="X29" s="590"/>
      <c r="Y29" s="594"/>
      <c r="Z29" s="591"/>
      <c r="AA29" s="591"/>
      <c r="AB29" s="592">
        <f t="shared" si="8"/>
        <v>0</v>
      </c>
    </row>
    <row r="30" spans="1:28" ht="13.9" thickBot="1">
      <c r="A30" s="622" t="s">
        <v>51</v>
      </c>
      <c r="B30" s="623">
        <f>SUM(B32:B36)</f>
        <v>1391931</v>
      </c>
      <c r="C30" s="864" t="s">
        <v>175</v>
      </c>
      <c r="D30" s="865"/>
      <c r="E30" s="865"/>
      <c r="F30" s="865"/>
      <c r="G30" s="865"/>
      <c r="H30" s="865"/>
      <c r="I30" s="865"/>
      <c r="J30" s="865"/>
      <c r="K30" s="865"/>
      <c r="L30" s="865"/>
      <c r="M30" s="865"/>
      <c r="N30" s="865"/>
      <c r="O30" s="865"/>
      <c r="P30" s="865"/>
      <c r="Q30" s="865"/>
      <c r="R30" s="865"/>
      <c r="S30" s="865"/>
      <c r="T30" s="865"/>
      <c r="U30" s="865"/>
      <c r="V30" s="865"/>
      <c r="W30" s="865"/>
      <c r="X30" s="865"/>
      <c r="Y30" s="1041"/>
      <c r="Z30" s="1041"/>
      <c r="AA30" s="1041"/>
      <c r="AB30" s="1041"/>
    </row>
    <row r="31" spans="1:28" ht="13.9" thickBot="1">
      <c r="A31" s="860"/>
      <c r="B31" s="861"/>
      <c r="C31" s="861"/>
      <c r="D31" s="861"/>
      <c r="E31" s="861"/>
      <c r="F31" s="861"/>
      <c r="G31" s="861"/>
      <c r="H31" s="861"/>
      <c r="I31" s="861"/>
      <c r="J31" s="861"/>
      <c r="K31" s="861"/>
      <c r="L31" s="861"/>
      <c r="M31" s="861"/>
      <c r="N31" s="861"/>
      <c r="O31" s="861"/>
      <c r="P31" s="861"/>
      <c r="Q31" s="861"/>
      <c r="R31" s="861"/>
      <c r="S31" s="861"/>
      <c r="T31" s="861"/>
      <c r="U31" s="861"/>
      <c r="V31" s="861"/>
      <c r="W31" s="861"/>
      <c r="X31" s="861"/>
      <c r="Y31" s="1042"/>
      <c r="Z31" s="1042"/>
      <c r="AA31" s="1042"/>
      <c r="AB31" s="1042"/>
    </row>
    <row r="32" spans="1:28" ht="81.400000000000006" customHeight="1" thickBot="1">
      <c r="A32" s="847" t="s">
        <v>176</v>
      </c>
      <c r="B32" s="851">
        <f>SUM(G32:G36)+SUM(L32:L36)+SUM(P32:P36)+SUM(T32:T36)</f>
        <v>1391931</v>
      </c>
      <c r="C32" s="593" t="s">
        <v>177</v>
      </c>
      <c r="D32" s="604">
        <f>Prices!B4</f>
        <v>3700</v>
      </c>
      <c r="E32" s="604">
        <v>30</v>
      </c>
      <c r="F32" s="604">
        <v>2</v>
      </c>
      <c r="G32" s="605">
        <f>D32*E32*F32</f>
        <v>222000</v>
      </c>
      <c r="H32" s="624" t="s">
        <v>178</v>
      </c>
      <c r="I32" s="607">
        <f>Prices!D9</f>
        <v>7500</v>
      </c>
      <c r="J32" s="608">
        <v>1</v>
      </c>
      <c r="K32" s="608">
        <v>3</v>
      </c>
      <c r="L32" s="609">
        <f>I32*J32*K32</f>
        <v>22500</v>
      </c>
      <c r="M32" s="603"/>
      <c r="N32" s="604"/>
      <c r="O32" s="604"/>
      <c r="P32" s="605">
        <f>N32*O32</f>
        <v>0</v>
      </c>
      <c r="Q32" s="625"/>
      <c r="R32" s="626"/>
      <c r="S32" s="626"/>
      <c r="T32" s="627">
        <f>R32*S32</f>
        <v>0</v>
      </c>
      <c r="U32" s="628"/>
      <c r="V32" s="604"/>
      <c r="W32" s="604"/>
      <c r="X32" s="605">
        <f>V32*W32</f>
        <v>0</v>
      </c>
      <c r="Y32" s="606"/>
      <c r="Z32" s="607"/>
      <c r="AA32" s="607"/>
      <c r="AB32" s="629">
        <f>Z32*AA32</f>
        <v>0</v>
      </c>
    </row>
    <row r="33" spans="1:28" ht="119.45" thickBot="1">
      <c r="A33" s="848"/>
      <c r="B33" s="852"/>
      <c r="C33" s="593"/>
      <c r="D33" s="589"/>
      <c r="E33" s="589"/>
      <c r="F33" s="589"/>
      <c r="G33" s="605">
        <f>D33*E33*F33</f>
        <v>0</v>
      </c>
      <c r="H33" s="618" t="s">
        <v>179</v>
      </c>
      <c r="I33" s="591">
        <v>6500</v>
      </c>
      <c r="J33" s="595">
        <v>35</v>
      </c>
      <c r="K33" s="595">
        <v>4</v>
      </c>
      <c r="L33" s="609">
        <f>I33*J33*K33</f>
        <v>910000</v>
      </c>
      <c r="M33" s="619"/>
      <c r="N33" s="589"/>
      <c r="O33" s="589"/>
      <c r="P33" s="630">
        <f>N33*O33</f>
        <v>0</v>
      </c>
      <c r="Q33" s="631"/>
      <c r="R33" s="607"/>
      <c r="S33" s="607"/>
      <c r="T33" s="629">
        <f>R33*S33</f>
        <v>0</v>
      </c>
      <c r="U33" s="621"/>
      <c r="V33" s="589"/>
      <c r="W33" s="589"/>
      <c r="X33" s="590">
        <f>V33*W33</f>
        <v>0</v>
      </c>
      <c r="Y33" s="594"/>
      <c r="Z33" s="591"/>
      <c r="AA33" s="591"/>
      <c r="AB33" s="629">
        <f>Z33*AA33</f>
        <v>0</v>
      </c>
    </row>
    <row r="34" spans="1:28" ht="106.15" thickBot="1">
      <c r="A34" s="848"/>
      <c r="B34" s="852"/>
      <c r="C34" s="593"/>
      <c r="D34" s="589"/>
      <c r="E34" s="589"/>
      <c r="F34" s="589"/>
      <c r="G34" s="605">
        <f>D34*E34*F34</f>
        <v>0</v>
      </c>
      <c r="H34" s="632" t="s">
        <v>180</v>
      </c>
      <c r="I34" s="633">
        <v>115100</v>
      </c>
      <c r="J34" s="608">
        <v>1</v>
      </c>
      <c r="K34" s="595">
        <v>1</v>
      </c>
      <c r="L34" s="609">
        <f>I34*J34*K34</f>
        <v>115100</v>
      </c>
      <c r="M34" s="634"/>
      <c r="N34" s="589"/>
      <c r="O34" s="589"/>
      <c r="P34" s="630">
        <f>N34*O34</f>
        <v>0</v>
      </c>
      <c r="Q34" s="635"/>
      <c r="R34" s="591"/>
      <c r="S34" s="591"/>
      <c r="T34" s="636">
        <f>R34*S34</f>
        <v>0</v>
      </c>
      <c r="U34" s="621"/>
      <c r="V34" s="589"/>
      <c r="W34" s="589"/>
      <c r="X34" s="590"/>
      <c r="Y34" s="594"/>
      <c r="Z34" s="591"/>
      <c r="AA34" s="591"/>
      <c r="AB34" s="629">
        <f>Z34*AA34</f>
        <v>0</v>
      </c>
    </row>
    <row r="35" spans="1:28" ht="145.9" thickBot="1">
      <c r="A35" s="849"/>
      <c r="B35" s="852"/>
      <c r="C35" s="603"/>
      <c r="D35" s="604"/>
      <c r="E35" s="604"/>
      <c r="F35" s="604"/>
      <c r="G35" s="605">
        <f>D35*E35*F35</f>
        <v>0</v>
      </c>
      <c r="H35" s="761" t="s">
        <v>181</v>
      </c>
      <c r="I35" s="637">
        <v>122331</v>
      </c>
      <c r="J35" s="595">
        <v>1</v>
      </c>
      <c r="K35" s="608">
        <v>1</v>
      </c>
      <c r="L35" s="609">
        <f>I35*J35*K35</f>
        <v>122331</v>
      </c>
      <c r="M35" s="603"/>
      <c r="N35" s="604"/>
      <c r="O35" s="604"/>
      <c r="P35" s="638">
        <f>N35*O35</f>
        <v>0</v>
      </c>
      <c r="Q35" s="631"/>
      <c r="R35" s="607"/>
      <c r="S35" s="607"/>
      <c r="T35" s="629">
        <f>R35*S35</f>
        <v>0</v>
      </c>
      <c r="U35" s="628"/>
      <c r="V35" s="604"/>
      <c r="W35" s="604"/>
      <c r="X35" s="605">
        <f>V35*W35</f>
        <v>0</v>
      </c>
      <c r="Y35" s="606"/>
      <c r="Z35" s="607"/>
      <c r="AA35" s="607"/>
      <c r="AB35" s="629">
        <f>Z35*AA35</f>
        <v>0</v>
      </c>
    </row>
    <row r="36" spans="1:28" ht="13.9" thickBot="1">
      <c r="A36" s="850"/>
      <c r="B36" s="853"/>
      <c r="C36" s="593"/>
      <c r="D36" s="589"/>
      <c r="E36" s="589"/>
      <c r="F36" s="589"/>
      <c r="G36" s="605">
        <f>D36*E36*F36</f>
        <v>0</v>
      </c>
      <c r="K36" s="595">
        <v>0</v>
      </c>
      <c r="L36" s="609">
        <f>I36*J36*K36</f>
        <v>0</v>
      </c>
      <c r="M36" s="619"/>
      <c r="N36" s="589"/>
      <c r="O36" s="589"/>
      <c r="P36" s="630">
        <f>N36*O36</f>
        <v>0</v>
      </c>
      <c r="Q36" s="635"/>
      <c r="R36" s="591"/>
      <c r="S36" s="591"/>
      <c r="T36" s="636">
        <f>R36*S36</f>
        <v>0</v>
      </c>
      <c r="U36" s="621"/>
      <c r="V36" s="589"/>
      <c r="W36" s="589"/>
      <c r="X36" s="590">
        <f>V36*W36</f>
        <v>0</v>
      </c>
      <c r="Y36" s="594"/>
      <c r="Z36" s="591"/>
      <c r="AA36" s="591"/>
      <c r="AB36" s="629">
        <f>Z36*AA36</f>
        <v>0</v>
      </c>
    </row>
    <row r="37" spans="1:28" ht="13.9" hidden="1" thickBot="1">
      <c r="A37" s="622" t="s">
        <v>73</v>
      </c>
      <c r="B37" s="623">
        <f>SUM(B39:B62)</f>
        <v>0</v>
      </c>
      <c r="C37" s="862" t="s">
        <v>74</v>
      </c>
      <c r="D37" s="863"/>
      <c r="E37" s="863"/>
      <c r="F37" s="863"/>
      <c r="G37" s="863"/>
      <c r="H37" s="863"/>
      <c r="I37" s="863"/>
      <c r="J37" s="863"/>
      <c r="K37" s="863"/>
      <c r="L37" s="863"/>
      <c r="M37" s="863"/>
      <c r="N37" s="863"/>
      <c r="O37" s="863"/>
      <c r="P37" s="863"/>
      <c r="Q37" s="863"/>
      <c r="R37" s="863"/>
      <c r="S37" s="863"/>
      <c r="T37" s="863"/>
      <c r="U37" s="863"/>
      <c r="V37" s="863"/>
      <c r="W37" s="863"/>
      <c r="X37" s="863"/>
      <c r="Y37" s="1043"/>
      <c r="Z37" s="1043"/>
      <c r="AA37" s="1043"/>
      <c r="AB37" s="1043"/>
    </row>
    <row r="38" spans="1:28" ht="13.9" hidden="1" thickBot="1">
      <c r="A38" s="639"/>
      <c r="B38" s="640"/>
      <c r="C38" s="640"/>
      <c r="D38" s="640"/>
      <c r="E38" s="640"/>
      <c r="F38" s="640"/>
      <c r="G38" s="640"/>
      <c r="H38" s="640"/>
      <c r="I38" s="640"/>
      <c r="J38" s="640"/>
      <c r="K38" s="640"/>
      <c r="L38" s="640"/>
      <c r="M38" s="640"/>
      <c r="N38" s="640"/>
      <c r="O38" s="640"/>
      <c r="P38" s="640"/>
      <c r="Q38" s="640"/>
      <c r="R38" s="640"/>
      <c r="S38" s="1044"/>
      <c r="T38" s="1042"/>
      <c r="U38" s="1042"/>
      <c r="V38" s="1042"/>
      <c r="W38" s="1042"/>
      <c r="X38" s="1042"/>
      <c r="Y38" s="1042"/>
      <c r="Z38" s="1042"/>
      <c r="AA38" s="1042"/>
      <c r="AB38" s="1042"/>
    </row>
    <row r="39" spans="1:28" ht="13.9" hidden="1" thickBot="1">
      <c r="A39" s="840"/>
      <c r="B39" s="843">
        <f>SUM(G39:G44)+SUM(L39:L44)+SUM(P39:P44)+SUM(T39:T44)+SUM(AB39:AB44)</f>
        <v>0</v>
      </c>
      <c r="C39" s="603"/>
      <c r="D39" s="604"/>
      <c r="E39" s="604"/>
      <c r="F39" s="604"/>
      <c r="G39" s="605">
        <f>D39*E39*F39</f>
        <v>0</v>
      </c>
      <c r="H39" s="641"/>
      <c r="I39" s="607"/>
      <c r="J39" s="608"/>
      <c r="K39" s="608"/>
      <c r="L39" s="609">
        <f t="shared" ref="L39:L62" si="9">I39*J39*K39</f>
        <v>0</v>
      </c>
      <c r="M39" s="603"/>
      <c r="N39" s="604"/>
      <c r="O39" s="604"/>
      <c r="P39" s="605">
        <f t="shared" ref="P39:P62" si="10">N39*O39</f>
        <v>0</v>
      </c>
      <c r="Q39" s="606"/>
      <c r="R39" s="607"/>
      <c r="S39" s="607"/>
      <c r="T39" s="629">
        <f>R39*S39</f>
        <v>0</v>
      </c>
      <c r="U39" s="628"/>
      <c r="V39" s="604"/>
      <c r="W39" s="604"/>
      <c r="X39" s="605">
        <f>V39*W39</f>
        <v>0</v>
      </c>
      <c r="Y39" s="606"/>
      <c r="Z39" s="607"/>
      <c r="AA39" s="607"/>
      <c r="AB39" s="629">
        <f>Z39*AA39</f>
        <v>0</v>
      </c>
    </row>
    <row r="40" spans="1:28" ht="13.9" hidden="1" thickBot="1">
      <c r="A40" s="841"/>
      <c r="B40" s="844"/>
      <c r="C40" s="593"/>
      <c r="D40" s="589"/>
      <c r="E40" s="589"/>
      <c r="F40" s="589"/>
      <c r="G40" s="590">
        <f>D40*E40*F40</f>
        <v>0</v>
      </c>
      <c r="H40" s="618"/>
      <c r="I40" s="591"/>
      <c r="J40" s="595"/>
      <c r="K40" s="595"/>
      <c r="L40" s="592">
        <f t="shared" si="9"/>
        <v>0</v>
      </c>
      <c r="M40" s="619"/>
      <c r="N40" s="589"/>
      <c r="O40" s="589"/>
      <c r="P40" s="620">
        <f t="shared" si="10"/>
        <v>0</v>
      </c>
      <c r="Q40" s="594"/>
      <c r="R40" s="591"/>
      <c r="S40" s="591"/>
      <c r="T40" s="636"/>
      <c r="U40" s="621"/>
      <c r="V40" s="589"/>
      <c r="W40" s="589"/>
      <c r="X40" s="590">
        <f>V40*W40</f>
        <v>0</v>
      </c>
      <c r="Y40" s="594"/>
      <c r="Z40" s="591"/>
      <c r="AA40" s="591"/>
      <c r="AB40" s="636"/>
    </row>
    <row r="41" spans="1:28" ht="13.9" hidden="1" thickBot="1">
      <c r="A41" s="841"/>
      <c r="B41" s="844"/>
      <c r="C41" s="593"/>
      <c r="D41" s="589"/>
      <c r="E41" s="589"/>
      <c r="F41" s="589"/>
      <c r="G41" s="590"/>
      <c r="H41" s="642"/>
      <c r="I41" s="591"/>
      <c r="J41" s="595"/>
      <c r="K41" s="595"/>
      <c r="L41" s="592">
        <f t="shared" si="9"/>
        <v>0</v>
      </c>
      <c r="M41" s="634"/>
      <c r="N41" s="589"/>
      <c r="O41" s="589"/>
      <c r="P41" s="620">
        <f t="shared" si="10"/>
        <v>0</v>
      </c>
      <c r="Q41" s="594"/>
      <c r="R41" s="591"/>
      <c r="S41" s="591"/>
      <c r="T41" s="636"/>
      <c r="U41" s="621"/>
      <c r="V41" s="589"/>
      <c r="W41" s="589"/>
      <c r="X41" s="590"/>
      <c r="Y41" s="594"/>
      <c r="Z41" s="591"/>
      <c r="AA41" s="591"/>
      <c r="AB41" s="636"/>
    </row>
    <row r="42" spans="1:28" ht="13.9" hidden="1" thickBot="1">
      <c r="A42" s="841"/>
      <c r="B42" s="844"/>
      <c r="C42" s="593"/>
      <c r="D42" s="589"/>
      <c r="E42" s="589"/>
      <c r="F42" s="589"/>
      <c r="G42" s="590">
        <f>D42*E42*F42</f>
        <v>0</v>
      </c>
      <c r="H42" s="642"/>
      <c r="I42" s="591"/>
      <c r="J42" s="591"/>
      <c r="K42" s="591"/>
      <c r="L42" s="592">
        <f t="shared" si="9"/>
        <v>0</v>
      </c>
      <c r="M42" s="634"/>
      <c r="N42" s="643"/>
      <c r="O42" s="643"/>
      <c r="P42" s="620">
        <f t="shared" si="10"/>
        <v>0</v>
      </c>
      <c r="Q42" s="594"/>
      <c r="R42" s="591"/>
      <c r="S42" s="591"/>
      <c r="T42" s="636">
        <f>Q42*R42*S42</f>
        <v>0</v>
      </c>
      <c r="U42" s="621"/>
      <c r="V42" s="589"/>
      <c r="W42" s="589"/>
      <c r="X42" s="590">
        <f>U42*V42*W42</f>
        <v>0</v>
      </c>
      <c r="Y42" s="594"/>
      <c r="Z42" s="591"/>
      <c r="AA42" s="591"/>
      <c r="AB42" s="636">
        <f>Y42*Z42*AA42</f>
        <v>0</v>
      </c>
    </row>
    <row r="43" spans="1:28" ht="13.9" hidden="1" outlineLevel="1" thickBot="1">
      <c r="A43" s="841"/>
      <c r="B43" s="845"/>
      <c r="C43" s="593"/>
      <c r="D43" s="589"/>
      <c r="E43" s="589"/>
      <c r="F43" s="589"/>
      <c r="G43" s="590">
        <f>D43*E43*F43</f>
        <v>0</v>
      </c>
      <c r="H43" s="618"/>
      <c r="I43" s="591"/>
      <c r="J43" s="591"/>
      <c r="K43" s="591"/>
      <c r="L43" s="592">
        <f t="shared" si="9"/>
        <v>0</v>
      </c>
      <c r="M43" s="593"/>
      <c r="N43" s="589"/>
      <c r="O43" s="589"/>
      <c r="P43" s="620">
        <f t="shared" si="10"/>
        <v>0</v>
      </c>
      <c r="Q43" s="594"/>
      <c r="R43" s="591"/>
      <c r="S43" s="591"/>
      <c r="T43" s="636">
        <f>Q43*R43*S43</f>
        <v>0</v>
      </c>
      <c r="U43" s="621"/>
      <c r="V43" s="589"/>
      <c r="W43" s="589"/>
      <c r="X43" s="590">
        <f>U43*V43*W43</f>
        <v>0</v>
      </c>
      <c r="Y43" s="594"/>
      <c r="Z43" s="591"/>
      <c r="AA43" s="591"/>
      <c r="AB43" s="636">
        <f>Y43*Z43*AA43</f>
        <v>0</v>
      </c>
    </row>
    <row r="44" spans="1:28" ht="13.9" hidden="1" outlineLevel="1" thickBot="1">
      <c r="A44" s="842"/>
      <c r="B44" s="846"/>
      <c r="C44" s="644"/>
      <c r="D44" s="645"/>
      <c r="E44" s="645"/>
      <c r="F44" s="645"/>
      <c r="G44" s="646">
        <f>D44*E44*F44</f>
        <v>0</v>
      </c>
      <c r="H44" s="647"/>
      <c r="I44" s="647"/>
      <c r="J44" s="647"/>
      <c r="K44" s="647"/>
      <c r="L44" s="648">
        <f t="shared" si="9"/>
        <v>0</v>
      </c>
      <c r="M44" s="644"/>
      <c r="N44" s="645"/>
      <c r="O44" s="645"/>
      <c r="P44" s="620">
        <f t="shared" si="10"/>
        <v>0</v>
      </c>
      <c r="Q44" s="649"/>
      <c r="R44" s="647"/>
      <c r="S44" s="647"/>
      <c r="T44" s="650">
        <f>R44*S44</f>
        <v>0</v>
      </c>
      <c r="U44" s="651"/>
      <c r="V44" s="597"/>
      <c r="W44" s="597"/>
      <c r="X44" s="601">
        <f>V44*W44</f>
        <v>0</v>
      </c>
      <c r="Y44" s="649"/>
      <c r="Z44" s="647"/>
      <c r="AA44" s="647"/>
      <c r="AB44" s="650">
        <f>Z44*AA44</f>
        <v>0</v>
      </c>
    </row>
    <row r="45" spans="1:28" ht="13.9" hidden="1" collapsed="1" thickBot="1">
      <c r="A45" s="840"/>
      <c r="B45" s="843">
        <f>SUM(G45:G50)+SUM(L45:L50)+SUM(P45:P50)+SUM(T45:T50)+SUM(AB45:AB50)</f>
        <v>0</v>
      </c>
      <c r="C45" s="603"/>
      <c r="D45" s="604"/>
      <c r="E45" s="604"/>
      <c r="F45" s="604"/>
      <c r="G45" s="605">
        <f>D45*E45*F45</f>
        <v>0</v>
      </c>
      <c r="H45" s="641"/>
      <c r="I45" s="607"/>
      <c r="J45" s="608"/>
      <c r="K45" s="608"/>
      <c r="L45" s="609">
        <f t="shared" si="9"/>
        <v>0</v>
      </c>
      <c r="M45" s="603"/>
      <c r="N45" s="604"/>
      <c r="O45" s="604"/>
      <c r="P45" s="605">
        <f t="shared" si="10"/>
        <v>0</v>
      </c>
      <c r="Q45" s="606"/>
      <c r="R45" s="607"/>
      <c r="S45" s="607"/>
      <c r="T45" s="629">
        <f>R45*S45</f>
        <v>0</v>
      </c>
      <c r="U45" s="628"/>
      <c r="V45" s="604"/>
      <c r="W45" s="604"/>
      <c r="X45" s="605">
        <f>V45*W45</f>
        <v>0</v>
      </c>
      <c r="Y45" s="606"/>
      <c r="Z45" s="607"/>
      <c r="AA45" s="607"/>
      <c r="AB45" s="629">
        <f>Z45*AA45</f>
        <v>0</v>
      </c>
    </row>
    <row r="46" spans="1:28" ht="13.9" hidden="1" thickBot="1">
      <c r="A46" s="841"/>
      <c r="B46" s="844"/>
      <c r="C46" s="593"/>
      <c r="D46" s="589"/>
      <c r="E46" s="589"/>
      <c r="F46" s="589"/>
      <c r="G46" s="590">
        <f>D46*E46*F46</f>
        <v>0</v>
      </c>
      <c r="H46" s="618"/>
      <c r="I46" s="591"/>
      <c r="J46" s="595"/>
      <c r="K46" s="595"/>
      <c r="L46" s="592">
        <f t="shared" si="9"/>
        <v>0</v>
      </c>
      <c r="M46" s="619"/>
      <c r="N46" s="589"/>
      <c r="O46" s="589"/>
      <c r="P46" s="620">
        <f t="shared" si="10"/>
        <v>0</v>
      </c>
      <c r="Q46" s="594"/>
      <c r="R46" s="591"/>
      <c r="S46" s="591"/>
      <c r="T46" s="636"/>
      <c r="U46" s="621"/>
      <c r="V46" s="589"/>
      <c r="W46" s="589"/>
      <c r="X46" s="590">
        <f>V46*W46</f>
        <v>0</v>
      </c>
      <c r="Y46" s="594"/>
      <c r="Z46" s="591"/>
      <c r="AA46" s="591"/>
      <c r="AB46" s="636"/>
    </row>
    <row r="47" spans="1:28" ht="13.9" hidden="1" thickBot="1">
      <c r="A47" s="841"/>
      <c r="B47" s="844"/>
      <c r="C47" s="593"/>
      <c r="D47" s="589"/>
      <c r="E47" s="589"/>
      <c r="F47" s="589"/>
      <c r="G47" s="590"/>
      <c r="H47" s="642"/>
      <c r="I47" s="591"/>
      <c r="J47" s="595"/>
      <c r="K47" s="595"/>
      <c r="L47" s="592">
        <f t="shared" si="9"/>
        <v>0</v>
      </c>
      <c r="M47" s="634"/>
      <c r="N47" s="589"/>
      <c r="O47" s="589"/>
      <c r="P47" s="620">
        <f t="shared" si="10"/>
        <v>0</v>
      </c>
      <c r="Q47" s="594"/>
      <c r="R47" s="591"/>
      <c r="S47" s="591"/>
      <c r="T47" s="636"/>
      <c r="U47" s="621"/>
      <c r="V47" s="589"/>
      <c r="W47" s="589"/>
      <c r="X47" s="590"/>
      <c r="Y47" s="594"/>
      <c r="Z47" s="591"/>
      <c r="AA47" s="591"/>
      <c r="AB47" s="636"/>
    </row>
    <row r="48" spans="1:28" ht="13.9" hidden="1" thickBot="1">
      <c r="A48" s="841"/>
      <c r="B48" s="844"/>
      <c r="C48" s="593"/>
      <c r="D48" s="589"/>
      <c r="E48" s="589"/>
      <c r="F48" s="589"/>
      <c r="G48" s="590">
        <f>D48*E48*F48</f>
        <v>0</v>
      </c>
      <c r="H48" s="642"/>
      <c r="I48" s="591"/>
      <c r="J48" s="591"/>
      <c r="K48" s="591"/>
      <c r="L48" s="592">
        <f t="shared" si="9"/>
        <v>0</v>
      </c>
      <c r="M48" s="634"/>
      <c r="N48" s="643"/>
      <c r="O48" s="643"/>
      <c r="P48" s="620">
        <f t="shared" si="10"/>
        <v>0</v>
      </c>
      <c r="Q48" s="594"/>
      <c r="R48" s="591"/>
      <c r="S48" s="591"/>
      <c r="T48" s="636">
        <f>Q48*R48*S48</f>
        <v>0</v>
      </c>
      <c r="U48" s="621"/>
      <c r="V48" s="589"/>
      <c r="W48" s="589"/>
      <c r="X48" s="590">
        <f>U48*V48*W48</f>
        <v>0</v>
      </c>
      <c r="Y48" s="594"/>
      <c r="Z48" s="591"/>
      <c r="AA48" s="591"/>
      <c r="AB48" s="636">
        <f>Y48*Z48*AA48</f>
        <v>0</v>
      </c>
    </row>
    <row r="49" spans="1:28" ht="13.9" hidden="1" outlineLevel="1" thickBot="1">
      <c r="A49" s="841"/>
      <c r="B49" s="845"/>
      <c r="C49" s="593"/>
      <c r="D49" s="589"/>
      <c r="E49" s="589"/>
      <c r="F49" s="589"/>
      <c r="G49" s="590">
        <f>D49*E49*F49</f>
        <v>0</v>
      </c>
      <c r="H49" s="618"/>
      <c r="I49" s="591"/>
      <c r="J49" s="591"/>
      <c r="K49" s="591"/>
      <c r="L49" s="592">
        <f t="shared" si="9"/>
        <v>0</v>
      </c>
      <c r="M49" s="593"/>
      <c r="N49" s="589"/>
      <c r="O49" s="589"/>
      <c r="P49" s="620">
        <f t="shared" si="10"/>
        <v>0</v>
      </c>
      <c r="Q49" s="594"/>
      <c r="R49" s="591"/>
      <c r="S49" s="591"/>
      <c r="T49" s="636">
        <f>Q49*R49*S49</f>
        <v>0</v>
      </c>
      <c r="U49" s="621"/>
      <c r="V49" s="589"/>
      <c r="W49" s="589"/>
      <c r="X49" s="590">
        <f>U49*V49*W49</f>
        <v>0</v>
      </c>
      <c r="Y49" s="594"/>
      <c r="Z49" s="591"/>
      <c r="AA49" s="591"/>
      <c r="AB49" s="636">
        <f>Y49*Z49*AA49</f>
        <v>0</v>
      </c>
    </row>
    <row r="50" spans="1:28" ht="13.9" hidden="1" outlineLevel="1" thickBot="1">
      <c r="A50" s="842"/>
      <c r="B50" s="846"/>
      <c r="C50" s="644"/>
      <c r="D50" s="645"/>
      <c r="E50" s="645"/>
      <c r="F50" s="645"/>
      <c r="G50" s="646">
        <f>D50*E50*F50</f>
        <v>0</v>
      </c>
      <c r="H50" s="647"/>
      <c r="I50" s="647"/>
      <c r="J50" s="647"/>
      <c r="K50" s="647"/>
      <c r="L50" s="648">
        <f t="shared" si="9"/>
        <v>0</v>
      </c>
      <c r="M50" s="644"/>
      <c r="N50" s="645"/>
      <c r="O50" s="645"/>
      <c r="P50" s="620">
        <f t="shared" si="10"/>
        <v>0</v>
      </c>
      <c r="Q50" s="649"/>
      <c r="R50" s="647"/>
      <c r="S50" s="647"/>
      <c r="T50" s="650">
        <f>R50*S50</f>
        <v>0</v>
      </c>
      <c r="U50" s="651"/>
      <c r="V50" s="597"/>
      <c r="W50" s="597"/>
      <c r="X50" s="601">
        <f>V50*W50</f>
        <v>0</v>
      </c>
      <c r="Y50" s="649"/>
      <c r="Z50" s="647"/>
      <c r="AA50" s="647"/>
      <c r="AB50" s="650">
        <f>Z50*AA50</f>
        <v>0</v>
      </c>
    </row>
    <row r="51" spans="1:28" ht="13.9" hidden="1" collapsed="1" thickBot="1">
      <c r="A51" s="840"/>
      <c r="B51" s="843">
        <f>SUM(G51:G56)+SUM(L51:L56)+SUM(P51:P56)+SUM(T51:T56)+SUM(AB51:AB56)</f>
        <v>0</v>
      </c>
      <c r="C51" s="603"/>
      <c r="D51" s="604"/>
      <c r="E51" s="604"/>
      <c r="F51" s="604"/>
      <c r="G51" s="605">
        <f>D51*E51*F51</f>
        <v>0</v>
      </c>
      <c r="H51" s="641"/>
      <c r="I51" s="607"/>
      <c r="J51" s="608"/>
      <c r="K51" s="608"/>
      <c r="L51" s="609">
        <f t="shared" si="9"/>
        <v>0</v>
      </c>
      <c r="M51" s="603"/>
      <c r="N51" s="604"/>
      <c r="O51" s="604"/>
      <c r="P51" s="605">
        <f t="shared" si="10"/>
        <v>0</v>
      </c>
      <c r="Q51" s="606"/>
      <c r="R51" s="607"/>
      <c r="S51" s="607"/>
      <c r="T51" s="629">
        <f>R51*S51</f>
        <v>0</v>
      </c>
      <c r="U51" s="628"/>
      <c r="V51" s="604"/>
      <c r="W51" s="604"/>
      <c r="X51" s="605">
        <f>V51*W51</f>
        <v>0</v>
      </c>
      <c r="Y51" s="606"/>
      <c r="Z51" s="607"/>
      <c r="AA51" s="607"/>
      <c r="AB51" s="629">
        <f>Z51*AA51</f>
        <v>0</v>
      </c>
    </row>
    <row r="52" spans="1:28" ht="13.9" hidden="1" thickBot="1">
      <c r="A52" s="841"/>
      <c r="B52" s="844"/>
      <c r="C52" s="593"/>
      <c r="D52" s="589"/>
      <c r="E52" s="589"/>
      <c r="F52" s="589"/>
      <c r="G52" s="590">
        <f>D52*E52*F52</f>
        <v>0</v>
      </c>
      <c r="H52" s="618"/>
      <c r="I52" s="591"/>
      <c r="J52" s="595"/>
      <c r="K52" s="595"/>
      <c r="L52" s="592">
        <f t="shared" si="9"/>
        <v>0</v>
      </c>
      <c r="M52" s="619"/>
      <c r="N52" s="589"/>
      <c r="O52" s="589"/>
      <c r="P52" s="620">
        <f t="shared" si="10"/>
        <v>0</v>
      </c>
      <c r="Q52" s="594"/>
      <c r="R52" s="591"/>
      <c r="S52" s="591"/>
      <c r="T52" s="636"/>
      <c r="U52" s="621"/>
      <c r="V52" s="589"/>
      <c r="W52" s="589"/>
      <c r="X52" s="590">
        <f>V52*W52</f>
        <v>0</v>
      </c>
      <c r="Y52" s="594"/>
      <c r="Z52" s="591"/>
      <c r="AA52" s="591"/>
      <c r="AB52" s="636"/>
    </row>
    <row r="53" spans="1:28" ht="13.9" hidden="1" thickBot="1">
      <c r="A53" s="841"/>
      <c r="B53" s="844"/>
      <c r="C53" s="593"/>
      <c r="D53" s="589"/>
      <c r="E53" s="589"/>
      <c r="F53" s="589"/>
      <c r="G53" s="590"/>
      <c r="H53" s="642"/>
      <c r="I53" s="591"/>
      <c r="J53" s="595"/>
      <c r="K53" s="595"/>
      <c r="L53" s="592">
        <f t="shared" si="9"/>
        <v>0</v>
      </c>
      <c r="M53" s="634"/>
      <c r="N53" s="589"/>
      <c r="O53" s="589"/>
      <c r="P53" s="620">
        <f t="shared" si="10"/>
        <v>0</v>
      </c>
      <c r="Q53" s="594"/>
      <c r="R53" s="591"/>
      <c r="S53" s="591"/>
      <c r="T53" s="636"/>
      <c r="U53" s="621"/>
      <c r="V53" s="589"/>
      <c r="W53" s="589"/>
      <c r="X53" s="590"/>
      <c r="Y53" s="594"/>
      <c r="Z53" s="591"/>
      <c r="AA53" s="591"/>
      <c r="AB53" s="636"/>
    </row>
    <row r="54" spans="1:28" ht="13.9" hidden="1" thickBot="1">
      <c r="A54" s="841"/>
      <c r="B54" s="844"/>
      <c r="C54" s="593"/>
      <c r="D54" s="589"/>
      <c r="E54" s="589"/>
      <c r="F54" s="589"/>
      <c r="G54" s="590">
        <f>D54*E54*F54</f>
        <v>0</v>
      </c>
      <c r="H54" s="642"/>
      <c r="I54" s="591"/>
      <c r="J54" s="591"/>
      <c r="K54" s="591"/>
      <c r="L54" s="592">
        <f t="shared" si="9"/>
        <v>0</v>
      </c>
      <c r="M54" s="634"/>
      <c r="N54" s="643"/>
      <c r="O54" s="643"/>
      <c r="P54" s="620">
        <f t="shared" si="10"/>
        <v>0</v>
      </c>
      <c r="Q54" s="594"/>
      <c r="R54" s="591"/>
      <c r="S54" s="591"/>
      <c r="T54" s="636">
        <f>Q54*R54*S54</f>
        <v>0</v>
      </c>
      <c r="U54" s="621"/>
      <c r="V54" s="589"/>
      <c r="W54" s="589"/>
      <c r="X54" s="590">
        <f>U54*V54*W54</f>
        <v>0</v>
      </c>
      <c r="Y54" s="594"/>
      <c r="Z54" s="591"/>
      <c r="AA54" s="591"/>
      <c r="AB54" s="636">
        <f>Y54*Z54*AA54</f>
        <v>0</v>
      </c>
    </row>
    <row r="55" spans="1:28" ht="13.9" hidden="1" outlineLevel="1" thickBot="1">
      <c r="A55" s="841"/>
      <c r="B55" s="845"/>
      <c r="C55" s="593"/>
      <c r="D55" s="589"/>
      <c r="E55" s="589"/>
      <c r="F55" s="589"/>
      <c r="G55" s="590">
        <f>D55*E55*F55</f>
        <v>0</v>
      </c>
      <c r="H55" s="618"/>
      <c r="I55" s="591"/>
      <c r="J55" s="591"/>
      <c r="K55" s="591"/>
      <c r="L55" s="592">
        <f t="shared" si="9"/>
        <v>0</v>
      </c>
      <c r="M55" s="593"/>
      <c r="N55" s="589"/>
      <c r="O55" s="589"/>
      <c r="P55" s="620">
        <f t="shared" si="10"/>
        <v>0</v>
      </c>
      <c r="Q55" s="594"/>
      <c r="R55" s="591"/>
      <c r="S55" s="591"/>
      <c r="T55" s="636">
        <f>Q55*R55*S55</f>
        <v>0</v>
      </c>
      <c r="U55" s="621"/>
      <c r="V55" s="589"/>
      <c r="W55" s="589"/>
      <c r="X55" s="590">
        <f>U55*V55*W55</f>
        <v>0</v>
      </c>
      <c r="Y55" s="594"/>
      <c r="Z55" s="591"/>
      <c r="AA55" s="591"/>
      <c r="AB55" s="636">
        <f>Y55*Z55*AA55</f>
        <v>0</v>
      </c>
    </row>
    <row r="56" spans="1:28" ht="13.9" hidden="1" outlineLevel="1" thickBot="1">
      <c r="A56" s="842"/>
      <c r="B56" s="846"/>
      <c r="C56" s="644"/>
      <c r="D56" s="645"/>
      <c r="E56" s="645"/>
      <c r="F56" s="645"/>
      <c r="G56" s="646">
        <f>D56*E56*F56</f>
        <v>0</v>
      </c>
      <c r="H56" s="647"/>
      <c r="I56" s="647"/>
      <c r="J56" s="647"/>
      <c r="K56" s="647"/>
      <c r="L56" s="648">
        <f t="shared" si="9"/>
        <v>0</v>
      </c>
      <c r="M56" s="644"/>
      <c r="N56" s="645"/>
      <c r="O56" s="645"/>
      <c r="P56" s="620">
        <f t="shared" si="10"/>
        <v>0</v>
      </c>
      <c r="Q56" s="649"/>
      <c r="R56" s="647"/>
      <c r="S56" s="647"/>
      <c r="T56" s="650">
        <f>R56*S56</f>
        <v>0</v>
      </c>
      <c r="U56" s="651"/>
      <c r="V56" s="597"/>
      <c r="W56" s="597"/>
      <c r="X56" s="601">
        <f>V56*W56</f>
        <v>0</v>
      </c>
      <c r="Y56" s="649"/>
      <c r="Z56" s="647"/>
      <c r="AA56" s="647"/>
      <c r="AB56" s="650">
        <f>Z56*AA56</f>
        <v>0</v>
      </c>
    </row>
    <row r="57" spans="1:28" ht="13.9" hidden="1" collapsed="1" thickBot="1">
      <c r="A57" s="840"/>
      <c r="B57" s="843">
        <f>SUM(G57:G62)+SUM(L57:L62)+SUM(P57:P62)+SUM(T57:T62)+SUM(AB57:AB62)</f>
        <v>0</v>
      </c>
      <c r="C57" s="603"/>
      <c r="D57" s="604"/>
      <c r="E57" s="604"/>
      <c r="F57" s="604"/>
      <c r="G57" s="605">
        <f>D57*E57*F57</f>
        <v>0</v>
      </c>
      <c r="H57" s="641"/>
      <c r="I57" s="607"/>
      <c r="J57" s="608"/>
      <c r="K57" s="608"/>
      <c r="L57" s="609">
        <f t="shared" si="9"/>
        <v>0</v>
      </c>
      <c r="M57" s="603"/>
      <c r="N57" s="604"/>
      <c r="O57" s="604"/>
      <c r="P57" s="605">
        <f t="shared" si="10"/>
        <v>0</v>
      </c>
      <c r="Q57" s="606"/>
      <c r="R57" s="607"/>
      <c r="S57" s="607"/>
      <c r="T57" s="629">
        <f>R57*S57</f>
        <v>0</v>
      </c>
      <c r="U57" s="628"/>
      <c r="V57" s="604"/>
      <c r="W57" s="604"/>
      <c r="X57" s="605">
        <f>V57*W57</f>
        <v>0</v>
      </c>
      <c r="Y57" s="606"/>
      <c r="Z57" s="607"/>
      <c r="AA57" s="607"/>
      <c r="AB57" s="629">
        <f>Z57*AA57</f>
        <v>0</v>
      </c>
    </row>
    <row r="58" spans="1:28" ht="13.9" hidden="1" thickBot="1">
      <c r="A58" s="841"/>
      <c r="B58" s="844"/>
      <c r="C58" s="593"/>
      <c r="D58" s="589"/>
      <c r="E58" s="589"/>
      <c r="F58" s="589"/>
      <c r="G58" s="590">
        <f>D58*E58*F58</f>
        <v>0</v>
      </c>
      <c r="H58" s="618"/>
      <c r="I58" s="591"/>
      <c r="J58" s="595"/>
      <c r="K58" s="595"/>
      <c r="L58" s="592">
        <f t="shared" si="9"/>
        <v>0</v>
      </c>
      <c r="M58" s="619"/>
      <c r="N58" s="589"/>
      <c r="O58" s="589"/>
      <c r="P58" s="620">
        <f t="shared" si="10"/>
        <v>0</v>
      </c>
      <c r="Q58" s="594"/>
      <c r="R58" s="591"/>
      <c r="S58" s="591"/>
      <c r="T58" s="636"/>
      <c r="U58" s="621"/>
      <c r="V58" s="589"/>
      <c r="W58" s="589"/>
      <c r="X58" s="590">
        <f>V58*W58</f>
        <v>0</v>
      </c>
      <c r="Y58" s="594"/>
      <c r="Z58" s="591"/>
      <c r="AA58" s="591"/>
      <c r="AB58" s="636"/>
    </row>
    <row r="59" spans="1:28" ht="13.9" hidden="1" thickBot="1">
      <c r="A59" s="841"/>
      <c r="B59" s="844"/>
      <c r="C59" s="593"/>
      <c r="D59" s="589"/>
      <c r="E59" s="589"/>
      <c r="F59" s="589"/>
      <c r="G59" s="590"/>
      <c r="H59" s="642"/>
      <c r="I59" s="591"/>
      <c r="J59" s="595"/>
      <c r="K59" s="595"/>
      <c r="L59" s="592">
        <f t="shared" si="9"/>
        <v>0</v>
      </c>
      <c r="M59" s="634"/>
      <c r="N59" s="589"/>
      <c r="O59" s="589"/>
      <c r="P59" s="620">
        <f t="shared" si="10"/>
        <v>0</v>
      </c>
      <c r="Q59" s="594"/>
      <c r="R59" s="591"/>
      <c r="S59" s="591"/>
      <c r="T59" s="636"/>
      <c r="U59" s="621"/>
      <c r="V59" s="589"/>
      <c r="W59" s="589"/>
      <c r="X59" s="590"/>
      <c r="Y59" s="594"/>
      <c r="Z59" s="591"/>
      <c r="AA59" s="591"/>
      <c r="AB59" s="636"/>
    </row>
    <row r="60" spans="1:28" ht="13.9" hidden="1" thickBot="1">
      <c r="A60" s="841"/>
      <c r="B60" s="844"/>
      <c r="C60" s="593"/>
      <c r="D60" s="589"/>
      <c r="E60" s="589"/>
      <c r="F60" s="589"/>
      <c r="G60" s="590">
        <f>D60*E60*F60</f>
        <v>0</v>
      </c>
      <c r="H60" s="642"/>
      <c r="I60" s="591"/>
      <c r="J60" s="591"/>
      <c r="K60" s="591"/>
      <c r="L60" s="592">
        <f t="shared" si="9"/>
        <v>0</v>
      </c>
      <c r="M60" s="634"/>
      <c r="N60" s="643"/>
      <c r="O60" s="643"/>
      <c r="P60" s="620">
        <f t="shared" si="10"/>
        <v>0</v>
      </c>
      <c r="Q60" s="594"/>
      <c r="R60" s="591"/>
      <c r="S60" s="591"/>
      <c r="T60" s="636">
        <f>Q60*R60*S60</f>
        <v>0</v>
      </c>
      <c r="U60" s="621"/>
      <c r="V60" s="589"/>
      <c r="W60" s="589"/>
      <c r="X60" s="590">
        <f>U60*V60*W60</f>
        <v>0</v>
      </c>
      <c r="Y60" s="594"/>
      <c r="Z60" s="591"/>
      <c r="AA60" s="591"/>
      <c r="AB60" s="636">
        <f>Y60*Z60*AA60</f>
        <v>0</v>
      </c>
    </row>
    <row r="61" spans="1:28" ht="13.9" hidden="1" outlineLevel="1" thickBot="1">
      <c r="A61" s="841"/>
      <c r="B61" s="845"/>
      <c r="C61" s="593"/>
      <c r="D61" s="589"/>
      <c r="E61" s="589"/>
      <c r="F61" s="589"/>
      <c r="G61" s="590">
        <f>D61*E61*F61</f>
        <v>0</v>
      </c>
      <c r="H61" s="618"/>
      <c r="I61" s="591"/>
      <c r="J61" s="591"/>
      <c r="K61" s="591"/>
      <c r="L61" s="592">
        <f t="shared" si="9"/>
        <v>0</v>
      </c>
      <c r="M61" s="593"/>
      <c r="N61" s="589"/>
      <c r="O61" s="589"/>
      <c r="P61" s="620">
        <f t="shared" si="10"/>
        <v>0</v>
      </c>
      <c r="Q61" s="594"/>
      <c r="R61" s="591"/>
      <c r="S61" s="591"/>
      <c r="T61" s="636">
        <f>Q61*R61*S61</f>
        <v>0</v>
      </c>
      <c r="U61" s="621"/>
      <c r="V61" s="589"/>
      <c r="W61" s="589"/>
      <c r="X61" s="590">
        <f>U61*V61*W61</f>
        <v>0</v>
      </c>
      <c r="Y61" s="594"/>
      <c r="Z61" s="591"/>
      <c r="AA61" s="591"/>
      <c r="AB61" s="636">
        <f>Y61*Z61*AA61</f>
        <v>0</v>
      </c>
    </row>
    <row r="62" spans="1:28" ht="13.9" hidden="1" outlineLevel="1" thickBot="1">
      <c r="A62" s="842"/>
      <c r="B62" s="846"/>
      <c r="C62" s="644"/>
      <c r="D62" s="645"/>
      <c r="E62" s="645"/>
      <c r="F62" s="645"/>
      <c r="G62" s="646">
        <f>D62*E62*F62</f>
        <v>0</v>
      </c>
      <c r="H62" s="647"/>
      <c r="I62" s="647"/>
      <c r="J62" s="647"/>
      <c r="K62" s="647"/>
      <c r="L62" s="648">
        <f t="shared" si="9"/>
        <v>0</v>
      </c>
      <c r="M62" s="644"/>
      <c r="N62" s="645"/>
      <c r="O62" s="645"/>
      <c r="P62" s="620">
        <f t="shared" si="10"/>
        <v>0</v>
      </c>
      <c r="Q62" s="649"/>
      <c r="R62" s="647"/>
      <c r="S62" s="647"/>
      <c r="T62" s="650">
        <f>R62*S62</f>
        <v>0</v>
      </c>
      <c r="U62" s="651"/>
      <c r="V62" s="597"/>
      <c r="W62" s="597"/>
      <c r="X62" s="601">
        <f>V62*W62</f>
        <v>0</v>
      </c>
      <c r="Y62" s="649"/>
      <c r="Z62" s="647"/>
      <c r="AA62" s="647"/>
      <c r="AB62" s="650">
        <f>Z62*AA62</f>
        <v>0</v>
      </c>
    </row>
    <row r="63" spans="1:28" ht="42" customHeight="1" collapsed="1">
      <c r="A63" s="652" t="s">
        <v>75</v>
      </c>
      <c r="B63" s="653">
        <f>SUM(G64:G77)+SUM(L64:L76)+SUM(P64:P76)+SUM(T64:T76)+SUM(AB64:AB76)</f>
        <v>3032080.7469879519</v>
      </c>
      <c r="C63" s="837" t="s">
        <v>76</v>
      </c>
      <c r="D63" s="838"/>
      <c r="E63" s="838"/>
      <c r="F63" s="838"/>
      <c r="G63" s="838"/>
      <c r="H63" s="838"/>
      <c r="I63" s="838"/>
      <c r="J63" s="838"/>
      <c r="K63" s="838"/>
      <c r="L63" s="838"/>
      <c r="M63" s="838"/>
      <c r="N63" s="838"/>
      <c r="O63" s="838"/>
      <c r="P63" s="838"/>
      <c r="Q63" s="838"/>
      <c r="R63" s="838"/>
      <c r="S63" s="838"/>
      <c r="T63" s="838"/>
      <c r="U63" s="838"/>
      <c r="V63" s="838"/>
      <c r="W63" s="838"/>
      <c r="X63" s="838"/>
      <c r="Y63" s="1045"/>
      <c r="Z63" s="1045"/>
      <c r="AA63" s="1045"/>
      <c r="AB63" s="1045"/>
    </row>
    <row r="64" spans="1:28">
      <c r="A64" s="654" t="s">
        <v>78</v>
      </c>
      <c r="B64" s="655">
        <f>G64</f>
        <v>0</v>
      </c>
      <c r="C64" s="656" t="s">
        <v>78</v>
      </c>
      <c r="D64" s="657" t="s">
        <v>182</v>
      </c>
      <c r="E64" s="612" t="s">
        <v>182</v>
      </c>
      <c r="F64" s="612" t="s">
        <v>182</v>
      </c>
      <c r="G64" s="658"/>
      <c r="H64" s="659"/>
      <c r="I64" s="614"/>
      <c r="J64" s="614"/>
      <c r="K64" s="614"/>
      <c r="L64" s="660">
        <f>I64*K64</f>
        <v>0</v>
      </c>
      <c r="M64" s="661" t="s">
        <v>183</v>
      </c>
      <c r="N64" s="612">
        <f>400000/Prices!B37</f>
        <v>120481.92771084337</v>
      </c>
      <c r="O64" s="612">
        <v>1</v>
      </c>
      <c r="P64" s="658">
        <f>(N64*O64)+394</f>
        <v>120875.92771084337</v>
      </c>
      <c r="Q64" s="662" t="s">
        <v>184</v>
      </c>
      <c r="R64" s="663">
        <f>200000/Prices!B37/12</f>
        <v>5020.0803212851406</v>
      </c>
      <c r="S64" s="663">
        <v>60</v>
      </c>
      <c r="T64" s="664">
        <f>R64*S64</f>
        <v>301204.81927710841</v>
      </c>
      <c r="U64" s="616"/>
      <c r="V64" s="612"/>
      <c r="W64" s="612"/>
      <c r="X64" s="617">
        <f>V64*W64</f>
        <v>0</v>
      </c>
      <c r="Y64" s="665"/>
      <c r="Z64" s="663"/>
      <c r="AA64" s="663"/>
      <c r="AB64" s="664">
        <f>Z64*AA64</f>
        <v>0</v>
      </c>
    </row>
    <row r="65" spans="1:28">
      <c r="A65" s="654" t="str">
        <f t="shared" ref="A65:A77" si="11">C65</f>
        <v>Coordinador</v>
      </c>
      <c r="B65" s="655">
        <f>G65</f>
        <v>300000</v>
      </c>
      <c r="C65" s="656" t="s">
        <v>77</v>
      </c>
      <c r="D65" s="657">
        <v>5000</v>
      </c>
      <c r="E65" s="612">
        <v>60</v>
      </c>
      <c r="F65" s="612">
        <v>1</v>
      </c>
      <c r="G65" s="666">
        <f t="shared" ref="G65:G77" si="12">D65*E65*F65</f>
        <v>300000</v>
      </c>
      <c r="H65" s="659"/>
      <c r="I65" s="614"/>
      <c r="J65" s="614"/>
      <c r="K65" s="614"/>
      <c r="L65" s="660"/>
      <c r="M65" s="661"/>
      <c r="N65" s="612"/>
      <c r="O65" s="612"/>
      <c r="P65" s="658"/>
      <c r="Q65" s="662" t="s">
        <v>185</v>
      </c>
      <c r="R65" s="663">
        <v>6000</v>
      </c>
      <c r="S65" s="663">
        <v>48</v>
      </c>
      <c r="T65" s="664">
        <f t="shared" ref="T65:T77" si="13">R65*S65</f>
        <v>288000</v>
      </c>
      <c r="U65" s="616"/>
      <c r="V65" s="612"/>
      <c r="W65" s="612"/>
      <c r="X65" s="617"/>
      <c r="Y65" s="665"/>
      <c r="Z65" s="663"/>
      <c r="AA65" s="663"/>
      <c r="AB65" s="664">
        <f t="shared" ref="AB65:AB77" si="14">Z65*AA65</f>
        <v>0</v>
      </c>
    </row>
    <row r="66" spans="1:28">
      <c r="A66" s="654" t="str">
        <f t="shared" si="11"/>
        <v>Administrativo</v>
      </c>
      <c r="B66" s="655">
        <f t="shared" ref="B66:B77" si="15">G66</f>
        <v>480000</v>
      </c>
      <c r="C66" s="656" t="s">
        <v>186</v>
      </c>
      <c r="D66" s="657">
        <v>4000</v>
      </c>
      <c r="E66" s="612">
        <v>60</v>
      </c>
      <c r="F66" s="612">
        <v>2</v>
      </c>
      <c r="G66" s="666">
        <f t="shared" si="12"/>
        <v>480000</v>
      </c>
      <c r="H66" s="659"/>
      <c r="I66" s="614"/>
      <c r="J66" s="614"/>
      <c r="K66" s="614"/>
      <c r="L66" s="660"/>
      <c r="M66" s="661"/>
      <c r="N66" s="612"/>
      <c r="O66" s="612"/>
      <c r="P66" s="658"/>
      <c r="Q66" s="662"/>
      <c r="R66" s="663"/>
      <c r="S66" s="663"/>
      <c r="T66" s="664">
        <f t="shared" si="13"/>
        <v>0</v>
      </c>
      <c r="U66" s="616"/>
      <c r="V66" s="612"/>
      <c r="W66" s="612"/>
      <c r="X66" s="617"/>
      <c r="Y66" s="665"/>
      <c r="Z66" s="663"/>
      <c r="AA66" s="663"/>
      <c r="AB66" s="664">
        <f t="shared" si="14"/>
        <v>0</v>
      </c>
    </row>
    <row r="67" spans="1:28">
      <c r="A67" s="654" t="str">
        <f t="shared" si="11"/>
        <v>Asesor Legal</v>
      </c>
      <c r="B67" s="655">
        <f t="shared" si="15"/>
        <v>144000</v>
      </c>
      <c r="C67" s="656" t="s">
        <v>187</v>
      </c>
      <c r="D67" s="657">
        <v>4000</v>
      </c>
      <c r="E67" s="612">
        <v>36</v>
      </c>
      <c r="F67" s="612">
        <v>1</v>
      </c>
      <c r="G67" s="666">
        <f t="shared" si="12"/>
        <v>144000</v>
      </c>
      <c r="H67" s="659"/>
      <c r="I67" s="614"/>
      <c r="J67" s="614"/>
      <c r="K67" s="614"/>
      <c r="L67" s="660"/>
      <c r="M67" s="661"/>
      <c r="N67" s="612"/>
      <c r="O67" s="612"/>
      <c r="P67" s="658"/>
      <c r="Q67" s="662"/>
      <c r="R67" s="663"/>
      <c r="S67" s="663"/>
      <c r="T67" s="664">
        <f t="shared" si="13"/>
        <v>0</v>
      </c>
      <c r="U67" s="616"/>
      <c r="V67" s="612"/>
      <c r="W67" s="612"/>
      <c r="X67" s="617"/>
      <c r="Y67" s="665"/>
      <c r="Z67" s="663"/>
      <c r="AA67" s="663"/>
      <c r="AB67" s="664">
        <f t="shared" si="14"/>
        <v>0</v>
      </c>
    </row>
    <row r="68" spans="1:28" ht="26.45">
      <c r="A68" s="654" t="str">
        <f t="shared" si="11"/>
        <v>Especialista para el seguimiento COMP II</v>
      </c>
      <c r="B68" s="655">
        <f t="shared" si="15"/>
        <v>240000</v>
      </c>
      <c r="C68" s="656" t="s">
        <v>188</v>
      </c>
      <c r="D68" s="657">
        <v>4000</v>
      </c>
      <c r="E68" s="612">
        <v>60</v>
      </c>
      <c r="F68" s="612">
        <v>1</v>
      </c>
      <c r="G68" s="666">
        <f t="shared" si="12"/>
        <v>240000</v>
      </c>
      <c r="H68" s="659"/>
      <c r="I68" s="614"/>
      <c r="J68" s="614"/>
      <c r="K68" s="614"/>
      <c r="L68" s="660"/>
      <c r="M68" s="661"/>
      <c r="N68" s="612"/>
      <c r="O68" s="612"/>
      <c r="P68" s="658"/>
      <c r="Q68" s="662"/>
      <c r="R68" s="663"/>
      <c r="S68" s="663"/>
      <c r="T68" s="664">
        <f t="shared" si="13"/>
        <v>0</v>
      </c>
      <c r="U68" s="616"/>
      <c r="V68" s="612"/>
      <c r="W68" s="612"/>
      <c r="X68" s="617"/>
      <c r="Y68" s="665"/>
      <c r="Z68" s="663"/>
      <c r="AA68" s="663"/>
      <c r="AB68" s="664">
        <f t="shared" si="14"/>
        <v>0</v>
      </c>
    </row>
    <row r="69" spans="1:28" ht="16.5" customHeight="1">
      <c r="A69" s="667" t="str">
        <f t="shared" si="11"/>
        <v>Sectorista 1 UCCTF</v>
      </c>
      <c r="B69" s="655">
        <f t="shared" si="15"/>
        <v>240000</v>
      </c>
      <c r="C69" s="668" t="s">
        <v>189</v>
      </c>
      <c r="D69" s="669">
        <v>4000</v>
      </c>
      <c r="E69" s="589">
        <v>60</v>
      </c>
      <c r="F69" s="589">
        <v>1</v>
      </c>
      <c r="G69" s="666">
        <f t="shared" si="12"/>
        <v>240000</v>
      </c>
      <c r="H69" s="635"/>
      <c r="I69" s="591"/>
      <c r="J69" s="591"/>
      <c r="K69" s="591"/>
      <c r="L69" s="670">
        <f t="shared" ref="L69:L75" si="16">I69*K69</f>
        <v>0</v>
      </c>
      <c r="M69" s="671"/>
      <c r="N69" s="589"/>
      <c r="O69" s="589"/>
      <c r="P69" s="666">
        <f>N69*O69</f>
        <v>0</v>
      </c>
      <c r="Q69" s="662"/>
      <c r="R69" s="592"/>
      <c r="S69" s="592"/>
      <c r="T69" s="664">
        <f t="shared" si="13"/>
        <v>0</v>
      </c>
      <c r="U69" s="621"/>
      <c r="V69" s="589"/>
      <c r="W69" s="589"/>
      <c r="X69" s="590">
        <f t="shared" ref="X69:X75" si="17">V69*W69</f>
        <v>0</v>
      </c>
      <c r="Y69" s="672"/>
      <c r="Z69" s="592"/>
      <c r="AA69" s="592"/>
      <c r="AB69" s="664">
        <f t="shared" si="14"/>
        <v>0</v>
      </c>
    </row>
    <row r="70" spans="1:28">
      <c r="A70" s="667" t="str">
        <f t="shared" si="11"/>
        <v>Sectorista 2 UCCTF</v>
      </c>
      <c r="B70" s="655">
        <f t="shared" si="15"/>
        <v>240000</v>
      </c>
      <c r="C70" s="668" t="s">
        <v>190</v>
      </c>
      <c r="D70" s="669">
        <v>4000</v>
      </c>
      <c r="E70" s="589">
        <v>60</v>
      </c>
      <c r="F70" s="589">
        <v>1</v>
      </c>
      <c r="G70" s="666">
        <f t="shared" si="12"/>
        <v>240000</v>
      </c>
      <c r="H70" s="635"/>
      <c r="I70" s="591"/>
      <c r="J70" s="591"/>
      <c r="K70" s="591"/>
      <c r="L70" s="670">
        <f t="shared" si="16"/>
        <v>0</v>
      </c>
      <c r="M70" s="671"/>
      <c r="N70" s="589"/>
      <c r="O70" s="589"/>
      <c r="P70" s="666">
        <f t="shared" ref="P70:P75" si="18">N70*O70</f>
        <v>0</v>
      </c>
      <c r="Q70" s="662"/>
      <c r="R70" s="592"/>
      <c r="S70" s="592"/>
      <c r="T70" s="664">
        <f t="shared" si="13"/>
        <v>0</v>
      </c>
      <c r="U70" s="621"/>
      <c r="V70" s="589"/>
      <c r="W70" s="589"/>
      <c r="X70" s="590">
        <f t="shared" si="17"/>
        <v>0</v>
      </c>
      <c r="Y70" s="672"/>
      <c r="Z70" s="592"/>
      <c r="AA70" s="592"/>
      <c r="AB70" s="664">
        <f t="shared" si="14"/>
        <v>0</v>
      </c>
    </row>
    <row r="71" spans="1:28">
      <c r="A71" s="667" t="str">
        <f t="shared" si="11"/>
        <v>Especialista en Monitoreo</v>
      </c>
      <c r="B71" s="655">
        <f t="shared" si="15"/>
        <v>240000</v>
      </c>
      <c r="C71" s="668" t="s">
        <v>92</v>
      </c>
      <c r="D71" s="669">
        <v>4000</v>
      </c>
      <c r="E71" s="589">
        <v>60</v>
      </c>
      <c r="F71" s="589">
        <v>1</v>
      </c>
      <c r="G71" s="666">
        <f t="shared" si="12"/>
        <v>240000</v>
      </c>
      <c r="H71" s="635"/>
      <c r="I71" s="591"/>
      <c r="J71" s="591"/>
      <c r="K71" s="591"/>
      <c r="L71" s="670">
        <f t="shared" si="16"/>
        <v>0</v>
      </c>
      <c r="M71" s="671"/>
      <c r="N71" s="589"/>
      <c r="O71" s="589"/>
      <c r="P71" s="666">
        <f t="shared" si="18"/>
        <v>0</v>
      </c>
      <c r="Q71" s="662"/>
      <c r="R71" s="592"/>
      <c r="S71" s="592"/>
      <c r="T71" s="664">
        <f t="shared" si="13"/>
        <v>0</v>
      </c>
      <c r="U71" s="621"/>
      <c r="V71" s="589"/>
      <c r="W71" s="589"/>
      <c r="X71" s="590">
        <f t="shared" si="17"/>
        <v>0</v>
      </c>
      <c r="Y71" s="672"/>
      <c r="Z71" s="592"/>
      <c r="AA71" s="592"/>
      <c r="AB71" s="664">
        <f t="shared" si="14"/>
        <v>0</v>
      </c>
    </row>
    <row r="72" spans="1:28">
      <c r="A72" s="839" t="s">
        <v>95</v>
      </c>
      <c r="B72" s="655">
        <f t="shared" si="15"/>
        <v>20000</v>
      </c>
      <c r="C72" s="668" t="s">
        <v>96</v>
      </c>
      <c r="D72" s="669">
        <v>20000</v>
      </c>
      <c r="E72" s="589">
        <v>1</v>
      </c>
      <c r="F72" s="589">
        <v>1</v>
      </c>
      <c r="G72" s="666">
        <f t="shared" si="12"/>
        <v>20000</v>
      </c>
      <c r="H72" s="635"/>
      <c r="I72" s="591"/>
      <c r="J72" s="591"/>
      <c r="K72" s="591"/>
      <c r="L72" s="670">
        <f t="shared" si="16"/>
        <v>0</v>
      </c>
      <c r="M72" s="671"/>
      <c r="N72" s="589"/>
      <c r="O72" s="589"/>
      <c r="P72" s="666">
        <f t="shared" si="18"/>
        <v>0</v>
      </c>
      <c r="Q72" s="662"/>
      <c r="R72" s="592"/>
      <c r="S72" s="592"/>
      <c r="T72" s="664">
        <f t="shared" si="13"/>
        <v>0</v>
      </c>
      <c r="U72" s="621"/>
      <c r="V72" s="589"/>
      <c r="W72" s="589"/>
      <c r="X72" s="590">
        <f t="shared" si="17"/>
        <v>0</v>
      </c>
      <c r="Y72" s="672"/>
      <c r="Z72" s="592"/>
      <c r="AA72" s="592"/>
      <c r="AB72" s="664">
        <f t="shared" si="14"/>
        <v>0</v>
      </c>
    </row>
    <row r="73" spans="1:28" ht="14.25" customHeight="1">
      <c r="A73" s="839" t="str">
        <f t="shared" si="11"/>
        <v xml:space="preserve">Evaluación Final </v>
      </c>
      <c r="B73" s="655">
        <f t="shared" si="15"/>
        <v>30000</v>
      </c>
      <c r="C73" s="668" t="s">
        <v>191</v>
      </c>
      <c r="D73" s="669">
        <v>30000</v>
      </c>
      <c r="E73" s="589">
        <v>1</v>
      </c>
      <c r="F73" s="589">
        <v>1</v>
      </c>
      <c r="G73" s="666">
        <f t="shared" si="12"/>
        <v>30000</v>
      </c>
      <c r="H73" s="635"/>
      <c r="I73" s="591"/>
      <c r="J73" s="591"/>
      <c r="K73" s="591"/>
      <c r="L73" s="670">
        <f t="shared" si="16"/>
        <v>0</v>
      </c>
      <c r="M73" s="671"/>
      <c r="N73" s="589"/>
      <c r="O73" s="589"/>
      <c r="P73" s="666">
        <f t="shared" si="18"/>
        <v>0</v>
      </c>
      <c r="Q73" s="662"/>
      <c r="R73" s="592"/>
      <c r="S73" s="592"/>
      <c r="T73" s="664">
        <f t="shared" si="13"/>
        <v>0</v>
      </c>
      <c r="U73" s="621"/>
      <c r="V73" s="589"/>
      <c r="W73" s="589"/>
      <c r="X73" s="590">
        <f t="shared" si="17"/>
        <v>0</v>
      </c>
      <c r="Y73" s="672"/>
      <c r="Z73" s="592"/>
      <c r="AA73" s="592"/>
      <c r="AB73" s="664">
        <f t="shared" si="14"/>
        <v>0</v>
      </c>
    </row>
    <row r="74" spans="1:28" ht="14.25" customHeight="1">
      <c r="A74" s="839" t="str">
        <f t="shared" si="11"/>
        <v>Impacto</v>
      </c>
      <c r="B74" s="655">
        <f t="shared" si="15"/>
        <v>30000</v>
      </c>
      <c r="C74" s="668" t="s">
        <v>100</v>
      </c>
      <c r="D74" s="669">
        <v>30000</v>
      </c>
      <c r="E74" s="589">
        <v>1</v>
      </c>
      <c r="F74" s="589">
        <v>1</v>
      </c>
      <c r="G74" s="666">
        <f t="shared" si="12"/>
        <v>30000</v>
      </c>
      <c r="H74" s="635"/>
      <c r="I74" s="591"/>
      <c r="J74" s="591"/>
      <c r="K74" s="591"/>
      <c r="L74" s="670">
        <f t="shared" si="16"/>
        <v>0</v>
      </c>
      <c r="M74" s="671"/>
      <c r="N74" s="589"/>
      <c r="O74" s="589"/>
      <c r="P74" s="666">
        <f t="shared" si="18"/>
        <v>0</v>
      </c>
      <c r="Q74" s="662"/>
      <c r="R74" s="592"/>
      <c r="S74" s="592"/>
      <c r="T74" s="664">
        <f t="shared" si="13"/>
        <v>0</v>
      </c>
      <c r="U74" s="621"/>
      <c r="V74" s="589"/>
      <c r="W74" s="589"/>
      <c r="X74" s="590">
        <f t="shared" si="17"/>
        <v>0</v>
      </c>
      <c r="Y74" s="672"/>
      <c r="Z74" s="592"/>
      <c r="AA74" s="592"/>
      <c r="AB74" s="664">
        <f t="shared" si="14"/>
        <v>0</v>
      </c>
    </row>
    <row r="75" spans="1:28" ht="14.25" customHeight="1">
      <c r="A75" s="839" t="str">
        <f t="shared" si="11"/>
        <v>PCR</v>
      </c>
      <c r="B75" s="655">
        <f t="shared" si="15"/>
        <v>30000</v>
      </c>
      <c r="C75" s="668" t="s">
        <v>101</v>
      </c>
      <c r="D75" s="669">
        <v>30000</v>
      </c>
      <c r="E75" s="589">
        <v>1</v>
      </c>
      <c r="F75" s="589">
        <v>1</v>
      </c>
      <c r="G75" s="666">
        <f t="shared" si="12"/>
        <v>30000</v>
      </c>
      <c r="H75" s="635"/>
      <c r="I75" s="591"/>
      <c r="J75" s="591"/>
      <c r="K75" s="591"/>
      <c r="L75" s="670">
        <f t="shared" si="16"/>
        <v>0</v>
      </c>
      <c r="M75" s="671"/>
      <c r="N75" s="589"/>
      <c r="O75" s="589"/>
      <c r="P75" s="666">
        <f t="shared" si="18"/>
        <v>0</v>
      </c>
      <c r="Q75" s="662"/>
      <c r="R75" s="592"/>
      <c r="S75" s="592"/>
      <c r="T75" s="664">
        <f t="shared" si="13"/>
        <v>0</v>
      </c>
      <c r="U75" s="621"/>
      <c r="V75" s="589"/>
      <c r="W75" s="589"/>
      <c r="X75" s="590">
        <f t="shared" si="17"/>
        <v>0</v>
      </c>
      <c r="Y75" s="672"/>
      <c r="Z75" s="592"/>
      <c r="AA75" s="592"/>
      <c r="AB75" s="664">
        <f t="shared" si="14"/>
        <v>0</v>
      </c>
    </row>
    <row r="76" spans="1:28">
      <c r="A76" s="764" t="str">
        <f t="shared" si="11"/>
        <v>Auditorías</v>
      </c>
      <c r="B76" s="655">
        <f t="shared" si="15"/>
        <v>100000</v>
      </c>
      <c r="C76" s="668" t="s">
        <v>192</v>
      </c>
      <c r="D76" s="669">
        <v>20000</v>
      </c>
      <c r="E76" s="589">
        <v>5</v>
      </c>
      <c r="F76" s="589">
        <v>1</v>
      </c>
      <c r="G76" s="666">
        <f t="shared" si="12"/>
        <v>100000</v>
      </c>
      <c r="H76" s="635"/>
      <c r="I76" s="591"/>
      <c r="J76" s="591"/>
      <c r="K76" s="591"/>
      <c r="L76" s="670"/>
      <c r="M76" s="671"/>
      <c r="N76" s="589"/>
      <c r="O76" s="589"/>
      <c r="P76" s="666"/>
      <c r="Q76" s="662"/>
      <c r="R76" s="592"/>
      <c r="S76" s="592"/>
      <c r="T76" s="664">
        <f t="shared" si="13"/>
        <v>0</v>
      </c>
      <c r="U76" s="673"/>
      <c r="V76" s="674"/>
      <c r="W76" s="674"/>
      <c r="X76" s="675"/>
      <c r="Y76" s="672"/>
      <c r="Z76" s="592"/>
      <c r="AA76" s="592"/>
      <c r="AB76" s="664">
        <f t="shared" si="14"/>
        <v>0</v>
      </c>
    </row>
    <row r="77" spans="1:28" ht="15.75" customHeight="1" thickBot="1">
      <c r="A77" s="676" t="str">
        <f t="shared" si="11"/>
        <v>Apoyo a la ejecución</v>
      </c>
      <c r="B77" s="655">
        <f t="shared" si="15"/>
        <v>228000</v>
      </c>
      <c r="C77" s="677" t="s">
        <v>193</v>
      </c>
      <c r="D77" s="678">
        <v>1500</v>
      </c>
      <c r="E77" s="597">
        <v>38</v>
      </c>
      <c r="F77" s="597">
        <v>4</v>
      </c>
      <c r="G77" s="666">
        <f t="shared" si="12"/>
        <v>228000</v>
      </c>
      <c r="H77" s="679"/>
      <c r="I77" s="598"/>
      <c r="J77" s="598"/>
      <c r="K77" s="598"/>
      <c r="L77" s="680"/>
      <c r="M77" s="681"/>
      <c r="N77" s="597"/>
      <c r="O77" s="597"/>
      <c r="P77" s="682"/>
      <c r="Q77" s="662"/>
      <c r="R77" s="683"/>
      <c r="S77" s="683"/>
      <c r="T77" s="664">
        <f t="shared" si="13"/>
        <v>0</v>
      </c>
      <c r="U77" s="673"/>
      <c r="V77" s="674"/>
      <c r="W77" s="674"/>
      <c r="X77" s="675"/>
      <c r="Y77" s="684"/>
      <c r="Z77" s="683"/>
      <c r="AA77" s="683"/>
      <c r="AB77" s="664">
        <f t="shared" si="14"/>
        <v>0</v>
      </c>
    </row>
    <row r="78" spans="1:28" ht="13.9" thickBot="1">
      <c r="A78" s="685" t="s">
        <v>106</v>
      </c>
      <c r="B78" s="686"/>
      <c r="C78" s="687"/>
      <c r="D78" s="688"/>
      <c r="E78" s="688"/>
      <c r="F78" s="688"/>
      <c r="G78" s="689">
        <f>SUM(G10:G76)</f>
        <v>4462000</v>
      </c>
      <c r="H78" s="690"/>
      <c r="I78" s="688"/>
      <c r="J78" s="688"/>
      <c r="K78" s="688"/>
      <c r="L78" s="689">
        <f>SUM(L10:L76)</f>
        <v>11506966.361445785</v>
      </c>
      <c r="M78" s="687"/>
      <c r="N78" s="688"/>
      <c r="O78" s="688"/>
      <c r="P78" s="689">
        <f>SUM(P10:P76)</f>
        <v>16463828.337349398</v>
      </c>
      <c r="Q78" s="690"/>
      <c r="R78" s="688"/>
      <c r="S78" s="688"/>
      <c r="T78" s="691">
        <f>SUM(T10:T76)</f>
        <v>589204.81927710841</v>
      </c>
      <c r="U78" s="692"/>
      <c r="V78" s="693"/>
      <c r="W78" s="693"/>
      <c r="X78" s="694">
        <f>SUM(X10:X76)</f>
        <v>0</v>
      </c>
      <c r="Y78" s="690"/>
      <c r="Z78" s="688"/>
      <c r="AA78" s="688"/>
      <c r="AB78" s="691">
        <f>SUM(AB10:AB76)</f>
        <v>0</v>
      </c>
    </row>
    <row r="79" spans="1:28" ht="13.9" thickBot="1">
      <c r="A79" s="685" t="s">
        <v>107</v>
      </c>
      <c r="B79" s="686"/>
      <c r="C79" s="687"/>
      <c r="D79" s="688"/>
      <c r="E79" s="688"/>
      <c r="F79" s="688"/>
      <c r="G79" s="695">
        <f>G78/$B$1*100</f>
        <v>13.419549066684286</v>
      </c>
      <c r="H79" s="690"/>
      <c r="I79" s="688"/>
      <c r="J79" s="688"/>
      <c r="K79" s="688"/>
      <c r="L79" s="695">
        <f>L78/$B$1*100</f>
        <v>34.607418130010593</v>
      </c>
      <c r="M79" s="687"/>
      <c r="N79" s="688"/>
      <c r="O79" s="688"/>
      <c r="P79" s="695">
        <f>P78/$B$1*100</f>
        <v>49.515273912713454</v>
      </c>
      <c r="Q79" s="690"/>
      <c r="R79" s="688"/>
      <c r="S79" s="688"/>
      <c r="T79" s="695">
        <f>T78/$B$1*100</f>
        <v>1.7720445949385937</v>
      </c>
      <c r="U79" s="692"/>
      <c r="V79" s="693"/>
      <c r="W79" s="693"/>
      <c r="X79" s="694">
        <f>X78/$B$1*100</f>
        <v>0</v>
      </c>
      <c r="Y79" s="690"/>
      <c r="Z79" s="688"/>
      <c r="AA79" s="688"/>
      <c r="AB79" s="695">
        <f>AB78/$B$1*100</f>
        <v>0</v>
      </c>
    </row>
    <row r="80" spans="1:28">
      <c r="B80" s="697"/>
    </row>
    <row r="85" spans="17:17">
      <c r="Q85" s="698">
        <f>P64+T64+T65</f>
        <v>710080.7469879518</v>
      </c>
    </row>
  </sheetData>
  <mergeCells count="33">
    <mergeCell ref="B20:B24"/>
    <mergeCell ref="B25:B29"/>
    <mergeCell ref="E1:AB4"/>
    <mergeCell ref="A5:B7"/>
    <mergeCell ref="C5:G6"/>
    <mergeCell ref="H5:L6"/>
    <mergeCell ref="M5:P5"/>
    <mergeCell ref="A25:A29"/>
    <mergeCell ref="Q5:T5"/>
    <mergeCell ref="U5:X5"/>
    <mergeCell ref="Y5:AB5"/>
    <mergeCell ref="A32:A36"/>
    <mergeCell ref="B32:B36"/>
    <mergeCell ref="A57:A62"/>
    <mergeCell ref="B57:B62"/>
    <mergeCell ref="C8:AB8"/>
    <mergeCell ref="A10:A14"/>
    <mergeCell ref="B10:B14"/>
    <mergeCell ref="B15:B19"/>
    <mergeCell ref="A15:A19"/>
    <mergeCell ref="A31:AB31"/>
    <mergeCell ref="C37:AB37"/>
    <mergeCell ref="S38:AB38"/>
    <mergeCell ref="A39:A44"/>
    <mergeCell ref="B39:B44"/>
    <mergeCell ref="C30:AB30"/>
    <mergeCell ref="A20:A24"/>
    <mergeCell ref="C63:AB63"/>
    <mergeCell ref="A72:A75"/>
    <mergeCell ref="A45:A50"/>
    <mergeCell ref="B45:B50"/>
    <mergeCell ref="A51:A56"/>
    <mergeCell ref="B51:B56"/>
  </mergeCells>
  <printOptions horizontalCentered="1"/>
  <pageMargins left="0" right="0" top="0.15748031496062992" bottom="0.15748031496062992" header="0" footer="0"/>
  <pageSetup paperSize="9" scale="40" fitToHeight="9" orientation="landscape" horizontalDpi="4294967294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7">
    <pageSetUpPr fitToPage="1"/>
  </sheetPr>
  <dimension ref="A1:R39"/>
  <sheetViews>
    <sheetView zoomScale="90" zoomScaleNormal="90" workbookViewId="0">
      <selection activeCell="A32" sqref="A32"/>
    </sheetView>
  </sheetViews>
  <sheetFormatPr defaultColWidth="10.28515625" defaultRowHeight="13.15" outlineLevelRow="1"/>
  <cols>
    <col min="1" max="1" width="54.85546875" style="752" customWidth="1"/>
    <col min="2" max="2" width="14.7109375" style="726" bestFit="1" customWidth="1"/>
    <col min="3" max="3" width="8.5703125" style="727" customWidth="1"/>
    <col min="4" max="4" width="12" style="699" customWidth="1"/>
    <col min="5" max="5" width="8" style="727" customWidth="1"/>
    <col min="6" max="6" width="11.42578125" style="699" customWidth="1"/>
    <col min="7" max="7" width="8.85546875" style="727" customWidth="1"/>
    <col min="8" max="8" width="13.140625" style="699" customWidth="1"/>
    <col min="9" max="9" width="9.5703125" style="727" customWidth="1"/>
    <col min="10" max="10" width="13.28515625" style="699" customWidth="1"/>
    <col min="11" max="11" width="8.85546875" style="727" customWidth="1"/>
    <col min="12" max="12" width="14.85546875" style="699" customWidth="1"/>
    <col min="13" max="14" width="3" style="699" hidden="1" customWidth="1"/>
    <col min="15" max="15" width="3.7109375" style="699" hidden="1" customWidth="1"/>
    <col min="16" max="16" width="2.7109375" style="699" hidden="1" customWidth="1"/>
    <col min="17" max="16384" width="10.28515625" style="699"/>
  </cols>
  <sheetData>
    <row r="1" spans="1:18" ht="24" customHeight="1" thickBot="1">
      <c r="A1" s="895" t="s">
        <v>194</v>
      </c>
      <c r="B1" s="896"/>
      <c r="C1" s="896"/>
      <c r="D1" s="896"/>
      <c r="E1" s="896"/>
      <c r="F1" s="896"/>
      <c r="G1" s="896"/>
      <c r="H1" s="896"/>
      <c r="I1" s="896"/>
      <c r="J1" s="896"/>
      <c r="K1" s="896"/>
      <c r="L1" s="896"/>
      <c r="M1" s="897"/>
      <c r="N1" s="897"/>
      <c r="O1" s="897"/>
      <c r="P1" s="898"/>
    </row>
    <row r="2" spans="1:18" ht="16.5" customHeight="1" thickBot="1">
      <c r="A2" s="728" t="s">
        <v>195</v>
      </c>
      <c r="B2" s="729">
        <f>B4+B11+B25</f>
        <v>33249999.518072292</v>
      </c>
      <c r="C2" s="730">
        <f>D2/$B$2*100</f>
        <v>11.944511125203531</v>
      </c>
      <c r="D2" s="729">
        <f>D4+D11+D25+D39</f>
        <v>3971549.8915662654</v>
      </c>
      <c r="E2" s="730">
        <f>F2/$B$2*100</f>
        <v>15.834735589596677</v>
      </c>
      <c r="F2" s="729">
        <f>F4+F11+F25+F39</f>
        <v>5265049.5072289165</v>
      </c>
      <c r="G2" s="730">
        <f>H2/$B$2*100</f>
        <v>26.671892463765083</v>
      </c>
      <c r="H2" s="729">
        <f>H4+H11+H25+H39</f>
        <v>8868404.1156626511</v>
      </c>
      <c r="I2" s="730">
        <f>J2/$B$2*100</f>
        <v>23.11728755854389</v>
      </c>
      <c r="J2" s="729">
        <f>J4+J11+J25+J39</f>
        <v>7686498.0018072287</v>
      </c>
      <c r="K2" s="730">
        <f>L2/$B$2*100</f>
        <v>23.193979288978774</v>
      </c>
      <c r="L2" s="729">
        <f>L4+L11+L25+L39</f>
        <v>7711998.0018072287</v>
      </c>
      <c r="M2" s="899"/>
      <c r="N2" s="899"/>
      <c r="O2" s="899"/>
      <c r="P2" s="900"/>
      <c r="Q2" s="700">
        <f t="shared" ref="Q2:Q22" si="0">C2+E2+G2+I2+K2</f>
        <v>100.76240602608794</v>
      </c>
      <c r="R2" s="701">
        <f>R4+R11+R25+R33</f>
        <v>33275499.518072292</v>
      </c>
    </row>
    <row r="3" spans="1:18" ht="14.25" customHeight="1" thickBot="1">
      <c r="A3" s="901" t="str">
        <f>'1. Detailed Budget POA (2)'!C8</f>
        <v>Componente I. Sistema de Gestión Presupuestaria de Planillas del Sector Público</v>
      </c>
      <c r="B3" s="731" t="s">
        <v>196</v>
      </c>
      <c r="C3" s="702" t="s">
        <v>107</v>
      </c>
      <c r="D3" s="732" t="s">
        <v>197</v>
      </c>
      <c r="E3" s="732" t="s">
        <v>107</v>
      </c>
      <c r="F3" s="732" t="s">
        <v>198</v>
      </c>
      <c r="G3" s="732" t="s">
        <v>107</v>
      </c>
      <c r="H3" s="732" t="s">
        <v>199</v>
      </c>
      <c r="I3" s="732" t="s">
        <v>107</v>
      </c>
      <c r="J3" s="732" t="s">
        <v>200</v>
      </c>
      <c r="K3" s="732" t="s">
        <v>107</v>
      </c>
      <c r="L3" s="732" t="s">
        <v>201</v>
      </c>
      <c r="M3" s="906" t="s">
        <v>202</v>
      </c>
      <c r="N3" s="907"/>
      <c r="O3" s="907"/>
      <c r="P3" s="908"/>
      <c r="Q3" s="700"/>
    </row>
    <row r="4" spans="1:18">
      <c r="A4" s="902"/>
      <c r="B4" s="733">
        <f>SUM(B5:B8)</f>
        <v>28825987.771084338</v>
      </c>
      <c r="C4" s="495">
        <f>D4/$B$4</f>
        <v>0.10550020232851423</v>
      </c>
      <c r="D4" s="734">
        <f>SUM(D5:D8)</f>
        <v>3041147.5421686745</v>
      </c>
      <c r="E4" s="495">
        <f>F4/$B$4</f>
        <v>0.14071541936544515</v>
      </c>
      <c r="F4" s="734">
        <f>SUM(F5:F8)</f>
        <v>4056260.9578313259</v>
      </c>
      <c r="G4" s="495">
        <f>H4/$B$4</f>
        <v>0.26571910135716159</v>
      </c>
      <c r="H4" s="734">
        <f>SUM(H5:H8)</f>
        <v>7659615.5662650606</v>
      </c>
      <c r="I4" s="495">
        <f>J4/$B$4</f>
        <v>0.24403263847443951</v>
      </c>
      <c r="J4" s="734">
        <f>SUM(J5:J8)</f>
        <v>7034481.8524096385</v>
      </c>
      <c r="K4" s="495">
        <f>L4/$B$4</f>
        <v>0.24403263847443951</v>
      </c>
      <c r="L4" s="734">
        <f>SUM(L5:L8)</f>
        <v>7034481.8524096385</v>
      </c>
      <c r="M4" s="703"/>
      <c r="N4" s="703"/>
      <c r="O4" s="703"/>
      <c r="P4" s="704"/>
      <c r="Q4" s="700">
        <f t="shared" si="0"/>
        <v>1</v>
      </c>
      <c r="R4" s="701">
        <f>D4+F4+H4+J4+L4</f>
        <v>28825987.771084338</v>
      </c>
    </row>
    <row r="5" spans="1:18" ht="26.45">
      <c r="A5" s="705" t="str">
        <f>'1. Detailed Budget POA (2)'!A10</f>
        <v>1.1 SIGEP-SP integrando todas las entidades del sector público, con opción de operación off-line</v>
      </c>
      <c r="B5" s="706">
        <f>'1. Detailed Budget POA (2)'!B10</f>
        <v>7678048.6144578317</v>
      </c>
      <c r="C5" s="475">
        <v>0.1</v>
      </c>
      <c r="D5" s="707">
        <f>$B5*C5</f>
        <v>767804.86144578317</v>
      </c>
      <c r="E5" s="475">
        <v>0.2</v>
      </c>
      <c r="F5" s="707">
        <f>$B5*E5</f>
        <v>1535609.7228915663</v>
      </c>
      <c r="G5" s="475">
        <v>0.2</v>
      </c>
      <c r="H5" s="707">
        <f>$B5*G5</f>
        <v>1535609.7228915663</v>
      </c>
      <c r="I5" s="475">
        <v>0.25</v>
      </c>
      <c r="J5" s="707">
        <f>$B5*I5</f>
        <v>1919512.1536144579</v>
      </c>
      <c r="K5" s="475">
        <v>0.25</v>
      </c>
      <c r="L5" s="707">
        <f>$B5*K5</f>
        <v>1919512.1536144579</v>
      </c>
      <c r="M5" s="701"/>
      <c r="N5" s="701"/>
      <c r="O5" s="701"/>
      <c r="P5" s="708"/>
      <c r="Q5" s="700">
        <f t="shared" si="0"/>
        <v>1</v>
      </c>
    </row>
    <row r="6" spans="1:18" ht="26.45">
      <c r="A6" s="705" t="str">
        <f>'1. Detailed Budget POA (2)'!A15</f>
        <v>1.2 Plataforma Tecnológica para la operación y almacenamiento de los datos para la operación del SIGEP-SP</v>
      </c>
      <c r="B6" s="706">
        <f>'1. Detailed Budget POA (2)'!B15</f>
        <v>20180722.891566265</v>
      </c>
      <c r="C6" s="475">
        <v>0.1</v>
      </c>
      <c r="D6" s="707">
        <f>$B6*C6</f>
        <v>2018072.2891566267</v>
      </c>
      <c r="E6" s="475">
        <v>0.1</v>
      </c>
      <c r="F6" s="707">
        <f>$B6*E6</f>
        <v>2018072.2891566267</v>
      </c>
      <c r="G6" s="475">
        <v>0.3</v>
      </c>
      <c r="H6" s="707">
        <f>$B6*G6</f>
        <v>6054216.8674698798</v>
      </c>
      <c r="I6" s="475">
        <v>0.25</v>
      </c>
      <c r="J6" s="707">
        <f>$B6*I6</f>
        <v>5045180.7228915663</v>
      </c>
      <c r="K6" s="475">
        <v>0.25</v>
      </c>
      <c r="L6" s="707">
        <f>$B6*K6</f>
        <v>5045180.7228915663</v>
      </c>
      <c r="M6" s="701"/>
      <c r="N6" s="701"/>
      <c r="O6" s="701"/>
      <c r="P6" s="708"/>
      <c r="Q6" s="700">
        <f t="shared" si="0"/>
        <v>1</v>
      </c>
    </row>
    <row r="7" spans="1:18">
      <c r="A7" s="705" t="str">
        <f>'1. Detailed Budget POA (2)'!A20</f>
        <v>1.3 Certificación de la calidad de los instrumentos del SIGEP-SP</v>
      </c>
      <c r="B7" s="706">
        <f>'1. Detailed Budget POA (2)'!B20</f>
        <v>618271.38554216875</v>
      </c>
      <c r="C7" s="475">
        <v>0.3</v>
      </c>
      <c r="D7" s="707">
        <f>$B7*C7</f>
        <v>185481.41566265063</v>
      </c>
      <c r="E7" s="475">
        <v>0.7</v>
      </c>
      <c r="F7" s="707">
        <f>$B7*E7</f>
        <v>432789.96987951809</v>
      </c>
      <c r="G7" s="475">
        <v>0</v>
      </c>
      <c r="H7" s="707">
        <f>$B7*G7</f>
        <v>0</v>
      </c>
      <c r="I7" s="475">
        <v>0</v>
      </c>
      <c r="J7" s="707">
        <f>$B7*I7</f>
        <v>0</v>
      </c>
      <c r="K7" s="475">
        <v>0</v>
      </c>
      <c r="L7" s="707">
        <f>$B7*K7</f>
        <v>0</v>
      </c>
      <c r="M7" s="701"/>
      <c r="N7" s="701"/>
      <c r="O7" s="701"/>
      <c r="P7" s="708"/>
      <c r="Q7" s="700">
        <f t="shared" si="0"/>
        <v>1</v>
      </c>
    </row>
    <row r="8" spans="1:18" ht="38.25" customHeight="1">
      <c r="A8" s="705" t="str">
        <f>'1. Detailed Budget POA (2)'!A25</f>
        <v>1.4 Estrategia de gestión de cambio</v>
      </c>
      <c r="B8" s="706">
        <f>'1. Detailed Budget POA (2)'!B25</f>
        <v>348944.8795180723</v>
      </c>
      <c r="C8" s="475">
        <v>0.2</v>
      </c>
      <c r="D8" s="707">
        <f>$B8*C8</f>
        <v>69788.975903614468</v>
      </c>
      <c r="E8" s="475">
        <v>0.2</v>
      </c>
      <c r="F8" s="707">
        <f>$B8*E8</f>
        <v>69788.975903614468</v>
      </c>
      <c r="G8" s="475">
        <v>0.2</v>
      </c>
      <c r="H8" s="707">
        <f>$B8*G8</f>
        <v>69788.975903614468</v>
      </c>
      <c r="I8" s="475">
        <v>0.2</v>
      </c>
      <c r="J8" s="707">
        <f>$B8*I8</f>
        <v>69788.975903614468</v>
      </c>
      <c r="K8" s="475">
        <v>0.2</v>
      </c>
      <c r="L8" s="707">
        <f>$B8*K8</f>
        <v>69788.975903614468</v>
      </c>
      <c r="M8" s="701"/>
      <c r="N8" s="701"/>
      <c r="O8" s="701"/>
      <c r="P8" s="708"/>
      <c r="Q8" s="700">
        <f t="shared" si="0"/>
        <v>1</v>
      </c>
    </row>
    <row r="9" spans="1:18" ht="13.9" thickBot="1">
      <c r="A9" s="903"/>
      <c r="B9" s="1046"/>
      <c r="C9" s="1046"/>
      <c r="D9" s="1046"/>
      <c r="E9" s="1046"/>
      <c r="F9" s="1046"/>
      <c r="G9" s="1046"/>
      <c r="H9" s="1046"/>
      <c r="I9" s="1046"/>
      <c r="J9" s="1046"/>
      <c r="K9" s="1046"/>
      <c r="L9" s="1047"/>
      <c r="M9" s="709"/>
      <c r="N9" s="710"/>
      <c r="O9" s="710"/>
      <c r="P9" s="711"/>
      <c r="Q9" s="700"/>
    </row>
    <row r="10" spans="1:18" ht="14.25" customHeight="1" thickBot="1">
      <c r="A10" s="904" t="str">
        <f>'1. Detailed Budget POA (2)'!C30</f>
        <v xml:space="preserve">Componente 2 - Mejora de capacidades del servicio de información presupuestaria </v>
      </c>
      <c r="B10" s="735" t="str">
        <f t="shared" ref="B10:L10" si="1">B3</f>
        <v>Total producto</v>
      </c>
      <c r="C10" s="735" t="str">
        <f t="shared" si="1"/>
        <v>%</v>
      </c>
      <c r="D10" s="735" t="str">
        <f t="shared" si="1"/>
        <v>Año 1</v>
      </c>
      <c r="E10" s="735" t="str">
        <f t="shared" si="1"/>
        <v>%</v>
      </c>
      <c r="F10" s="735" t="str">
        <f t="shared" si="1"/>
        <v>Año 2</v>
      </c>
      <c r="G10" s="735" t="str">
        <f t="shared" si="1"/>
        <v>%</v>
      </c>
      <c r="H10" s="735" t="str">
        <f t="shared" si="1"/>
        <v>Año 3</v>
      </c>
      <c r="I10" s="735" t="str">
        <f t="shared" si="1"/>
        <v>%</v>
      </c>
      <c r="J10" s="735" t="str">
        <f t="shared" si="1"/>
        <v>Año 4</v>
      </c>
      <c r="K10" s="735" t="str">
        <f t="shared" si="1"/>
        <v>%</v>
      </c>
      <c r="L10" s="735" t="str">
        <f t="shared" si="1"/>
        <v>Año 5</v>
      </c>
      <c r="M10" s="906" t="s">
        <v>201</v>
      </c>
      <c r="N10" s="907"/>
      <c r="O10" s="907"/>
      <c r="P10" s="908"/>
      <c r="Q10" s="700"/>
    </row>
    <row r="11" spans="1:18" ht="25.5" customHeight="1">
      <c r="A11" s="905"/>
      <c r="B11" s="736">
        <f>SUM(B12:B20)</f>
        <v>1391931</v>
      </c>
      <c r="C11" s="495">
        <f>D11/$B11</f>
        <v>0.2</v>
      </c>
      <c r="D11" s="736">
        <f>SUM(D12:D20)</f>
        <v>278386.2</v>
      </c>
      <c r="E11" s="495">
        <f>F11/$B11</f>
        <v>0.4</v>
      </c>
      <c r="F11" s="736">
        <f>SUM(F12:F20)</f>
        <v>556772.4</v>
      </c>
      <c r="G11" s="495">
        <f>H11/$B11</f>
        <v>0.4</v>
      </c>
      <c r="H11" s="736">
        <f>SUM(H12:H20)</f>
        <v>556772.4</v>
      </c>
      <c r="I11" s="495">
        <f>J11/$B11</f>
        <v>0</v>
      </c>
      <c r="J11" s="736">
        <f>SUM(J12:J20)</f>
        <v>0</v>
      </c>
      <c r="K11" s="495">
        <f>L11/$B11</f>
        <v>0</v>
      </c>
      <c r="L11" s="736">
        <f>SUM(L12:L20)</f>
        <v>0</v>
      </c>
      <c r="M11" s="737"/>
      <c r="N11" s="738"/>
      <c r="O11" s="738"/>
      <c r="P11" s="739"/>
      <c r="Q11" s="700">
        <f t="shared" si="0"/>
        <v>1</v>
      </c>
      <c r="R11" s="701">
        <f>D11+F11+H11+J11+L11</f>
        <v>1391931</v>
      </c>
    </row>
    <row r="12" spans="1:18" ht="26.45">
      <c r="A12" s="712" t="str">
        <f>'1. Detailed Budget POA (2)'!A32</f>
        <v>2.1 Programa de formación continua en gestión presupuestaria de ingresos y pensiones del sector público</v>
      </c>
      <c r="B12" s="740">
        <f>'1. Detailed Budget POA (2)'!B32</f>
        <v>1391931</v>
      </c>
      <c r="C12" s="475">
        <v>0.2</v>
      </c>
      <c r="D12" s="707">
        <f t="shared" ref="D12:F15" si="2">$B12*C12</f>
        <v>278386.2</v>
      </c>
      <c r="E12" s="475">
        <v>0.4</v>
      </c>
      <c r="F12" s="707">
        <f t="shared" si="2"/>
        <v>556772.4</v>
      </c>
      <c r="G12" s="475">
        <v>0.4</v>
      </c>
      <c r="H12" s="707">
        <f t="shared" ref="H12:H20" si="3">$B12*G12</f>
        <v>556772.4</v>
      </c>
      <c r="I12" s="475">
        <v>0</v>
      </c>
      <c r="J12" s="707">
        <f t="shared" ref="J12:J20" si="4">$B12*I12</f>
        <v>0</v>
      </c>
      <c r="K12" s="475">
        <v>0</v>
      </c>
      <c r="L12" s="707">
        <f t="shared" ref="L12:L20" si="5">$B12*K12</f>
        <v>0</v>
      </c>
      <c r="M12" s="741"/>
      <c r="N12" s="742"/>
      <c r="O12" s="742"/>
      <c r="P12" s="743"/>
      <c r="Q12" s="700">
        <f t="shared" si="0"/>
        <v>1</v>
      </c>
    </row>
    <row r="13" spans="1:18" hidden="1">
      <c r="A13" s="712"/>
      <c r="B13" s="740"/>
      <c r="C13" s="475">
        <v>0.1</v>
      </c>
      <c r="D13" s="707">
        <f t="shared" si="2"/>
        <v>0</v>
      </c>
      <c r="E13" s="475">
        <v>0.15</v>
      </c>
      <c r="F13" s="707">
        <f t="shared" si="2"/>
        <v>0</v>
      </c>
      <c r="G13" s="475">
        <v>0.25</v>
      </c>
      <c r="H13" s="707">
        <f t="shared" si="3"/>
        <v>0</v>
      </c>
      <c r="I13" s="475">
        <v>0.2</v>
      </c>
      <c r="J13" s="707">
        <f t="shared" si="4"/>
        <v>0</v>
      </c>
      <c r="K13" s="475">
        <v>0.3</v>
      </c>
      <c r="L13" s="707">
        <f t="shared" si="5"/>
        <v>0</v>
      </c>
      <c r="M13" s="741"/>
      <c r="N13" s="742"/>
      <c r="O13" s="742"/>
      <c r="P13" s="743"/>
      <c r="Q13" s="700">
        <f t="shared" si="0"/>
        <v>1</v>
      </c>
    </row>
    <row r="14" spans="1:18" hidden="1">
      <c r="A14" s="713"/>
      <c r="B14" s="740"/>
      <c r="C14" s="475">
        <v>0.1</v>
      </c>
      <c r="D14" s="707">
        <f t="shared" si="2"/>
        <v>0</v>
      </c>
      <c r="E14" s="475">
        <v>0.15</v>
      </c>
      <c r="F14" s="707">
        <f t="shared" si="2"/>
        <v>0</v>
      </c>
      <c r="G14" s="475">
        <v>0.25</v>
      </c>
      <c r="H14" s="707">
        <f t="shared" si="3"/>
        <v>0</v>
      </c>
      <c r="I14" s="475">
        <v>0.5</v>
      </c>
      <c r="J14" s="707">
        <f t="shared" si="4"/>
        <v>0</v>
      </c>
      <c r="K14" s="475"/>
      <c r="L14" s="707">
        <f t="shared" si="5"/>
        <v>0</v>
      </c>
      <c r="M14" s="741"/>
      <c r="N14" s="742"/>
      <c r="O14" s="742"/>
      <c r="P14" s="743"/>
      <c r="Q14" s="700">
        <f t="shared" si="0"/>
        <v>1</v>
      </c>
    </row>
    <row r="15" spans="1:18" hidden="1">
      <c r="A15" s="713"/>
      <c r="B15" s="740"/>
      <c r="C15" s="475">
        <v>0</v>
      </c>
      <c r="D15" s="707">
        <f t="shared" si="2"/>
        <v>0</v>
      </c>
      <c r="E15" s="475">
        <v>0.2</v>
      </c>
      <c r="F15" s="707">
        <f t="shared" si="2"/>
        <v>0</v>
      </c>
      <c r="G15" s="475">
        <v>0.6</v>
      </c>
      <c r="H15" s="707">
        <f t="shared" si="3"/>
        <v>0</v>
      </c>
      <c r="I15" s="475">
        <v>0.2</v>
      </c>
      <c r="J15" s="707">
        <f t="shared" si="4"/>
        <v>0</v>
      </c>
      <c r="K15" s="475"/>
      <c r="L15" s="707">
        <f t="shared" si="5"/>
        <v>0</v>
      </c>
      <c r="M15" s="741"/>
      <c r="N15" s="742"/>
      <c r="O15" s="742"/>
      <c r="P15" s="743"/>
      <c r="Q15" s="700">
        <f t="shared" si="0"/>
        <v>1</v>
      </c>
    </row>
    <row r="16" spans="1:18" hidden="1">
      <c r="A16" s="713"/>
      <c r="B16" s="740"/>
      <c r="C16" s="475">
        <v>0.2</v>
      </c>
      <c r="D16" s="707">
        <f>$B16*C16</f>
        <v>0</v>
      </c>
      <c r="E16" s="475">
        <v>0.2</v>
      </c>
      <c r="F16" s="707">
        <f>$B16*E16</f>
        <v>0</v>
      </c>
      <c r="G16" s="475">
        <v>0.2</v>
      </c>
      <c r="H16" s="707">
        <f t="shared" si="3"/>
        <v>0</v>
      </c>
      <c r="I16" s="475">
        <v>0.2</v>
      </c>
      <c r="J16" s="707">
        <f t="shared" si="4"/>
        <v>0</v>
      </c>
      <c r="K16" s="475">
        <v>0.2</v>
      </c>
      <c r="L16" s="707">
        <f t="shared" si="5"/>
        <v>0</v>
      </c>
      <c r="M16" s="741"/>
      <c r="N16" s="742"/>
      <c r="O16" s="742"/>
      <c r="P16" s="743"/>
      <c r="Q16" s="700">
        <f t="shared" si="0"/>
        <v>1</v>
      </c>
    </row>
    <row r="17" spans="1:18" hidden="1">
      <c r="A17" s="713"/>
      <c r="B17" s="740">
        <v>0</v>
      </c>
      <c r="C17" s="475"/>
      <c r="D17" s="707">
        <f>$B17*C17</f>
        <v>0</v>
      </c>
      <c r="E17" s="475"/>
      <c r="F17" s="707">
        <f>$B17*E17</f>
        <v>0</v>
      </c>
      <c r="G17" s="475"/>
      <c r="H17" s="707">
        <f t="shared" si="3"/>
        <v>0</v>
      </c>
      <c r="I17" s="475"/>
      <c r="J17" s="707">
        <f t="shared" si="4"/>
        <v>0</v>
      </c>
      <c r="K17" s="475"/>
      <c r="L17" s="707">
        <f t="shared" si="5"/>
        <v>0</v>
      </c>
      <c r="M17" s="741"/>
      <c r="N17" s="742"/>
      <c r="O17" s="742"/>
      <c r="P17" s="743"/>
      <c r="Q17" s="700">
        <f t="shared" si="0"/>
        <v>0</v>
      </c>
    </row>
    <row r="18" spans="1:18" hidden="1">
      <c r="A18" s="713"/>
      <c r="B18" s="740">
        <v>0</v>
      </c>
      <c r="C18" s="475"/>
      <c r="D18" s="707">
        <f>$B18*C18</f>
        <v>0</v>
      </c>
      <c r="E18" s="475"/>
      <c r="F18" s="707">
        <f>$B18*E18</f>
        <v>0</v>
      </c>
      <c r="G18" s="475"/>
      <c r="H18" s="707">
        <f t="shared" si="3"/>
        <v>0</v>
      </c>
      <c r="I18" s="475"/>
      <c r="J18" s="707">
        <f t="shared" si="4"/>
        <v>0</v>
      </c>
      <c r="K18" s="475"/>
      <c r="L18" s="707">
        <f t="shared" si="5"/>
        <v>0</v>
      </c>
      <c r="M18" s="741"/>
      <c r="N18" s="742"/>
      <c r="O18" s="742"/>
      <c r="P18" s="743"/>
      <c r="Q18" s="700">
        <f t="shared" si="0"/>
        <v>0</v>
      </c>
    </row>
    <row r="19" spans="1:18" hidden="1">
      <c r="A19" s="713"/>
      <c r="B19" s="740">
        <v>0</v>
      </c>
      <c r="C19" s="475"/>
      <c r="D19" s="707">
        <f>$B19*C19</f>
        <v>0</v>
      </c>
      <c r="E19" s="475"/>
      <c r="F19" s="707">
        <f>$B19*E19</f>
        <v>0</v>
      </c>
      <c r="G19" s="475"/>
      <c r="H19" s="707">
        <f t="shared" si="3"/>
        <v>0</v>
      </c>
      <c r="I19" s="475"/>
      <c r="J19" s="707">
        <f t="shared" si="4"/>
        <v>0</v>
      </c>
      <c r="K19" s="475"/>
      <c r="L19" s="707">
        <f t="shared" si="5"/>
        <v>0</v>
      </c>
      <c r="M19" s="741"/>
      <c r="N19" s="742"/>
      <c r="O19" s="742"/>
      <c r="P19" s="743"/>
      <c r="Q19" s="700">
        <f t="shared" si="0"/>
        <v>0</v>
      </c>
    </row>
    <row r="20" spans="1:18" hidden="1">
      <c r="A20" s="713"/>
      <c r="B20" s="740">
        <v>0</v>
      </c>
      <c r="C20" s="475"/>
      <c r="D20" s="707">
        <f>$B20*C20</f>
        <v>0</v>
      </c>
      <c r="E20" s="475"/>
      <c r="F20" s="707">
        <f>$B20*E20</f>
        <v>0</v>
      </c>
      <c r="G20" s="475"/>
      <c r="H20" s="707">
        <f t="shared" si="3"/>
        <v>0</v>
      </c>
      <c r="I20" s="475"/>
      <c r="J20" s="707">
        <f t="shared" si="4"/>
        <v>0</v>
      </c>
      <c r="K20" s="475"/>
      <c r="L20" s="707">
        <f t="shared" si="5"/>
        <v>0</v>
      </c>
      <c r="M20" s="741"/>
      <c r="N20" s="742"/>
      <c r="O20" s="742"/>
      <c r="P20" s="743"/>
      <c r="Q20" s="700">
        <f t="shared" si="0"/>
        <v>0</v>
      </c>
    </row>
    <row r="21" spans="1:18" hidden="1" outlineLevel="1">
      <c r="A21" s="713"/>
      <c r="B21" s="736"/>
      <c r="C21" s="253"/>
      <c r="D21" s="714"/>
      <c r="E21" s="253"/>
      <c r="F21" s="714"/>
      <c r="G21" s="253"/>
      <c r="H21" s="714"/>
      <c r="I21" s="253"/>
      <c r="J21" s="714"/>
      <c r="K21" s="253"/>
      <c r="L21" s="714"/>
      <c r="M21" s="744"/>
      <c r="N21" s="745"/>
      <c r="O21" s="745"/>
      <c r="P21" s="746"/>
      <c r="Q21" s="700">
        <f t="shared" si="0"/>
        <v>0</v>
      </c>
    </row>
    <row r="22" spans="1:18" hidden="1" outlineLevel="1">
      <c r="A22" s="715"/>
      <c r="B22" s="716"/>
      <c r="C22" s="253"/>
      <c r="D22" s="717"/>
      <c r="E22" s="253"/>
      <c r="F22" s="717"/>
      <c r="G22" s="253"/>
      <c r="H22" s="717"/>
      <c r="I22" s="253"/>
      <c r="J22" s="717"/>
      <c r="K22" s="253"/>
      <c r="L22" s="717"/>
      <c r="M22" s="701"/>
      <c r="N22" s="701"/>
      <c r="O22" s="701"/>
      <c r="P22" s="708"/>
      <c r="Q22" s="700">
        <f t="shared" si="0"/>
        <v>0</v>
      </c>
    </row>
    <row r="23" spans="1:18" ht="13.9" collapsed="1" thickBot="1">
      <c r="A23" s="909"/>
      <c r="B23" s="1046"/>
      <c r="C23" s="1046"/>
      <c r="D23" s="1046"/>
      <c r="E23" s="1046"/>
      <c r="F23" s="1046"/>
      <c r="G23" s="1046"/>
      <c r="H23" s="1046"/>
      <c r="I23" s="1046"/>
      <c r="J23" s="1046"/>
      <c r="K23" s="1046"/>
      <c r="L23" s="1047"/>
      <c r="M23" s="718"/>
      <c r="N23" s="718"/>
      <c r="O23" s="718"/>
      <c r="P23" s="719"/>
      <c r="Q23" s="700"/>
    </row>
    <row r="24" spans="1:18" ht="14.25" customHeight="1" thickBot="1">
      <c r="A24" s="910" t="str">
        <f>'1. Detailed Budget POA'!A95</f>
        <v>Total Gestión Administrativa del Proyecto</v>
      </c>
      <c r="B24" s="747" t="s">
        <v>203</v>
      </c>
      <c r="C24" s="720" t="s">
        <v>107</v>
      </c>
      <c r="D24" s="748" t="s">
        <v>197</v>
      </c>
      <c r="E24" s="748" t="s">
        <v>107</v>
      </c>
      <c r="F24" s="748" t="s">
        <v>198</v>
      </c>
      <c r="G24" s="748" t="s">
        <v>107</v>
      </c>
      <c r="H24" s="748" t="s">
        <v>199</v>
      </c>
      <c r="I24" s="748" t="s">
        <v>107</v>
      </c>
      <c r="J24" s="748" t="s">
        <v>200</v>
      </c>
      <c r="K24" s="748" t="s">
        <v>107</v>
      </c>
      <c r="L24" s="748" t="s">
        <v>201</v>
      </c>
      <c r="M24" s="906" t="s">
        <v>201</v>
      </c>
      <c r="N24" s="907"/>
      <c r="O24" s="907"/>
      <c r="P24" s="908"/>
      <c r="Q24" s="700"/>
    </row>
    <row r="25" spans="1:18">
      <c r="A25" s="911"/>
      <c r="B25" s="749">
        <f>SUM(B26:B39)</f>
        <v>3032080.7469879519</v>
      </c>
      <c r="C25" s="495">
        <f>D25/$B25</f>
        <v>0.2</v>
      </c>
      <c r="D25" s="749">
        <f>SUM(D26:D39)</f>
        <v>606416.14939759043</v>
      </c>
      <c r="E25" s="495">
        <f>F25/$B25</f>
        <v>0.2</v>
      </c>
      <c r="F25" s="749">
        <f>SUM(F26:F39)</f>
        <v>606416.14939759043</v>
      </c>
      <c r="G25" s="495">
        <f>H25/$B25</f>
        <v>0.2</v>
      </c>
      <c r="H25" s="749">
        <f>SUM(H26:H39)</f>
        <v>606416.14939759043</v>
      </c>
      <c r="I25" s="495">
        <f>J25/$B25</f>
        <v>0.2</v>
      </c>
      <c r="J25" s="749">
        <f>SUM(J26:J39)</f>
        <v>606416.14939759043</v>
      </c>
      <c r="K25" s="495">
        <f>L25/$B25</f>
        <v>0.20841006626401079</v>
      </c>
      <c r="L25" s="749">
        <f>SUM(L26:L39)</f>
        <v>631916.14939759043</v>
      </c>
      <c r="M25" s="721"/>
      <c r="N25" s="722"/>
      <c r="O25" s="722"/>
      <c r="P25" s="723"/>
      <c r="Q25" s="700">
        <f>C25+E25+G25+I25+K25</f>
        <v>1.0084100662640108</v>
      </c>
      <c r="R25" s="701">
        <f>D25+F25+H25+J25+L25</f>
        <v>3057580.7469879519</v>
      </c>
    </row>
    <row r="26" spans="1:18">
      <c r="A26" s="750" t="str">
        <f>'1. Detailed Budget POA (2)'!C65</f>
        <v>Coordinador</v>
      </c>
      <c r="B26" s="749">
        <f>'1. Detailed Budget POA (2)'!G65</f>
        <v>300000</v>
      </c>
      <c r="C26" s="475">
        <v>0.2</v>
      </c>
      <c r="D26" s="707">
        <f t="shared" ref="D26:D33" si="6">$B26*C26</f>
        <v>60000</v>
      </c>
      <c r="E26" s="475">
        <v>0.2</v>
      </c>
      <c r="F26" s="707">
        <f t="shared" ref="F26:F33" si="7">$B26*E26</f>
        <v>60000</v>
      </c>
      <c r="G26" s="475">
        <v>0.2</v>
      </c>
      <c r="H26" s="707">
        <f t="shared" ref="H26:H33" si="8">$B26*G26</f>
        <v>60000</v>
      </c>
      <c r="I26" s="475">
        <v>0.2</v>
      </c>
      <c r="J26" s="707">
        <f t="shared" ref="J26:J33" si="9">$B26*I26</f>
        <v>60000</v>
      </c>
      <c r="K26" s="475">
        <v>0.2</v>
      </c>
      <c r="L26" s="707">
        <f t="shared" ref="L26:L33" si="10">$B26*K26</f>
        <v>60000</v>
      </c>
      <c r="M26" s="724"/>
      <c r="N26" s="701"/>
      <c r="O26" s="701"/>
      <c r="P26" s="725"/>
      <c r="Q26" s="700">
        <f t="shared" ref="Q26:Q38" si="11">C26+E26+G26+I26+K26</f>
        <v>1</v>
      </c>
    </row>
    <row r="27" spans="1:18">
      <c r="A27" s="750" t="str">
        <f>'1. Detailed Budget POA (2)'!C66</f>
        <v>Administrativo</v>
      </c>
      <c r="B27" s="749">
        <f>'1. Detailed Budget POA (2)'!G66</f>
        <v>480000</v>
      </c>
      <c r="C27" s="475">
        <f>C26</f>
        <v>0.2</v>
      </c>
      <c r="D27" s="707">
        <f t="shared" si="6"/>
        <v>96000</v>
      </c>
      <c r="E27" s="475">
        <f>E26</f>
        <v>0.2</v>
      </c>
      <c r="F27" s="707">
        <f t="shared" si="7"/>
        <v>96000</v>
      </c>
      <c r="G27" s="475">
        <f>G26</f>
        <v>0.2</v>
      </c>
      <c r="H27" s="707">
        <f t="shared" si="8"/>
        <v>96000</v>
      </c>
      <c r="I27" s="475">
        <f>I26</f>
        <v>0.2</v>
      </c>
      <c r="J27" s="707">
        <f t="shared" si="9"/>
        <v>96000</v>
      </c>
      <c r="K27" s="475">
        <v>0.25</v>
      </c>
      <c r="L27" s="707">
        <f t="shared" si="10"/>
        <v>120000</v>
      </c>
      <c r="M27" s="724"/>
      <c r="N27" s="701"/>
      <c r="O27" s="701"/>
      <c r="P27" s="725"/>
      <c r="Q27" s="700">
        <f t="shared" si="11"/>
        <v>1.05</v>
      </c>
    </row>
    <row r="28" spans="1:18">
      <c r="A28" s="750" t="str">
        <f>'1. Detailed Budget POA (2)'!C67</f>
        <v>Asesor Legal</v>
      </c>
      <c r="B28" s="749">
        <f>'1. Detailed Budget POA (2)'!G67</f>
        <v>144000</v>
      </c>
      <c r="C28" s="475">
        <f>C26</f>
        <v>0.2</v>
      </c>
      <c r="D28" s="707">
        <f t="shared" si="6"/>
        <v>28800</v>
      </c>
      <c r="E28" s="475">
        <f>E26</f>
        <v>0.2</v>
      </c>
      <c r="F28" s="707">
        <f t="shared" si="7"/>
        <v>28800</v>
      </c>
      <c r="G28" s="475">
        <f>G26</f>
        <v>0.2</v>
      </c>
      <c r="H28" s="707">
        <f t="shared" si="8"/>
        <v>28800</v>
      </c>
      <c r="I28" s="475">
        <f>I26</f>
        <v>0.2</v>
      </c>
      <c r="J28" s="707">
        <f t="shared" si="9"/>
        <v>28800</v>
      </c>
      <c r="K28" s="475">
        <f>K26</f>
        <v>0.2</v>
      </c>
      <c r="L28" s="707">
        <f t="shared" si="10"/>
        <v>28800</v>
      </c>
      <c r="M28" s="724"/>
      <c r="N28" s="701"/>
      <c r="O28" s="701"/>
      <c r="P28" s="725"/>
      <c r="Q28" s="700">
        <f t="shared" si="11"/>
        <v>1</v>
      </c>
    </row>
    <row r="29" spans="1:18">
      <c r="A29" s="750" t="str">
        <f>'1. Detailed Budget POA (2)'!C68</f>
        <v>Especialista para el seguimiento COMP II</v>
      </c>
      <c r="B29" s="749">
        <f>'1. Detailed Budget POA (2)'!G68</f>
        <v>240000</v>
      </c>
      <c r="C29" s="475">
        <f>C26</f>
        <v>0.2</v>
      </c>
      <c r="D29" s="707">
        <f t="shared" si="6"/>
        <v>48000</v>
      </c>
      <c r="E29" s="475">
        <f>E26</f>
        <v>0.2</v>
      </c>
      <c r="F29" s="707">
        <f t="shared" si="7"/>
        <v>48000</v>
      </c>
      <c r="G29" s="475">
        <f>G26</f>
        <v>0.2</v>
      </c>
      <c r="H29" s="707">
        <f t="shared" si="8"/>
        <v>48000</v>
      </c>
      <c r="I29" s="475">
        <f>I26</f>
        <v>0.2</v>
      </c>
      <c r="J29" s="707">
        <f t="shared" si="9"/>
        <v>48000</v>
      </c>
      <c r="K29" s="475">
        <f>K26</f>
        <v>0.2</v>
      </c>
      <c r="L29" s="707">
        <f t="shared" si="10"/>
        <v>48000</v>
      </c>
      <c r="M29" s="724"/>
      <c r="N29" s="701"/>
      <c r="O29" s="701"/>
      <c r="P29" s="725"/>
      <c r="Q29" s="700">
        <f t="shared" si="11"/>
        <v>1</v>
      </c>
    </row>
    <row r="30" spans="1:18">
      <c r="A30" s="750" t="str">
        <f>'1. Detailed Budget POA (2)'!C69</f>
        <v>Sectorista 1 UCCTF</v>
      </c>
      <c r="B30" s="749">
        <f>'1. Detailed Budget POA (2)'!G69</f>
        <v>240000</v>
      </c>
      <c r="C30" s="475">
        <f>C26</f>
        <v>0.2</v>
      </c>
      <c r="D30" s="707">
        <f t="shared" si="6"/>
        <v>48000</v>
      </c>
      <c r="E30" s="475">
        <f>E26</f>
        <v>0.2</v>
      </c>
      <c r="F30" s="707">
        <f t="shared" si="7"/>
        <v>48000</v>
      </c>
      <c r="G30" s="475">
        <f>G26</f>
        <v>0.2</v>
      </c>
      <c r="H30" s="707">
        <f t="shared" si="8"/>
        <v>48000</v>
      </c>
      <c r="I30" s="475">
        <f>I26</f>
        <v>0.2</v>
      </c>
      <c r="J30" s="707">
        <f t="shared" si="9"/>
        <v>48000</v>
      </c>
      <c r="K30" s="475">
        <f>K26</f>
        <v>0.2</v>
      </c>
      <c r="L30" s="707">
        <f t="shared" si="10"/>
        <v>48000</v>
      </c>
      <c r="M30" s="724"/>
      <c r="N30" s="701"/>
      <c r="O30" s="701"/>
      <c r="P30" s="725"/>
      <c r="Q30" s="700">
        <f t="shared" si="11"/>
        <v>1</v>
      </c>
    </row>
    <row r="31" spans="1:18">
      <c r="A31" s="750" t="str">
        <f>'1. Detailed Budget POA (2)'!C70</f>
        <v>Sectorista 2 UCCTF</v>
      </c>
      <c r="B31" s="749">
        <f>'1. Detailed Budget POA (2)'!G70</f>
        <v>240000</v>
      </c>
      <c r="C31" s="475">
        <f>C26</f>
        <v>0.2</v>
      </c>
      <c r="D31" s="707">
        <f t="shared" si="6"/>
        <v>48000</v>
      </c>
      <c r="E31" s="475">
        <f>E26</f>
        <v>0.2</v>
      </c>
      <c r="F31" s="707">
        <f t="shared" si="7"/>
        <v>48000</v>
      </c>
      <c r="G31" s="475">
        <f>G26</f>
        <v>0.2</v>
      </c>
      <c r="H31" s="707">
        <f t="shared" si="8"/>
        <v>48000</v>
      </c>
      <c r="I31" s="475">
        <f>I26</f>
        <v>0.2</v>
      </c>
      <c r="J31" s="707">
        <f t="shared" si="9"/>
        <v>48000</v>
      </c>
      <c r="K31" s="475">
        <f>K26</f>
        <v>0.2</v>
      </c>
      <c r="L31" s="707">
        <f t="shared" si="10"/>
        <v>48000</v>
      </c>
      <c r="M31" s="724"/>
      <c r="N31" s="701"/>
      <c r="O31" s="701"/>
      <c r="P31" s="725"/>
      <c r="Q31" s="700">
        <f t="shared" si="11"/>
        <v>1</v>
      </c>
    </row>
    <row r="32" spans="1:18">
      <c r="A32" s="750" t="str">
        <f>'1. Detailed Budget POA (2)'!C71</f>
        <v>Especialista en Monitoreo</v>
      </c>
      <c r="B32" s="749">
        <f>'1. Detailed Budget POA (2)'!G71</f>
        <v>240000</v>
      </c>
      <c r="C32" s="475">
        <f>C26</f>
        <v>0.2</v>
      </c>
      <c r="D32" s="707">
        <f t="shared" si="6"/>
        <v>48000</v>
      </c>
      <c r="E32" s="475">
        <f>E26</f>
        <v>0.2</v>
      </c>
      <c r="F32" s="707">
        <f t="shared" si="7"/>
        <v>48000</v>
      </c>
      <c r="G32" s="475">
        <f>G26</f>
        <v>0.2</v>
      </c>
      <c r="H32" s="707">
        <f t="shared" si="8"/>
        <v>48000</v>
      </c>
      <c r="I32" s="475">
        <f>I26</f>
        <v>0.2</v>
      </c>
      <c r="J32" s="707">
        <f t="shared" si="9"/>
        <v>48000</v>
      </c>
      <c r="K32" s="475">
        <f>K26</f>
        <v>0.2</v>
      </c>
      <c r="L32" s="707">
        <f t="shared" si="10"/>
        <v>48000</v>
      </c>
      <c r="M32" s="724"/>
      <c r="N32" s="701"/>
      <c r="O32" s="701"/>
      <c r="P32" s="725"/>
      <c r="Q32" s="700">
        <f t="shared" si="11"/>
        <v>1</v>
      </c>
    </row>
    <row r="33" spans="1:18">
      <c r="A33" s="750" t="str">
        <f>'1. Detailed Budget POA (2)'!C72</f>
        <v>Evaluación Intermedia</v>
      </c>
      <c r="B33" s="749">
        <f>'1. Detailed Budget POA (2)'!G72</f>
        <v>20000</v>
      </c>
      <c r="C33" s="475">
        <f t="shared" ref="C33:C39" si="12">C26</f>
        <v>0.2</v>
      </c>
      <c r="D33" s="707">
        <f t="shared" si="6"/>
        <v>4000</v>
      </c>
      <c r="E33" s="475">
        <f t="shared" ref="E33:E39" si="13">E26</f>
        <v>0.2</v>
      </c>
      <c r="F33" s="707">
        <f t="shared" si="7"/>
        <v>4000</v>
      </c>
      <c r="G33" s="475">
        <f t="shared" ref="G33:G39" si="14">G26</f>
        <v>0.2</v>
      </c>
      <c r="H33" s="707">
        <f t="shared" si="8"/>
        <v>4000</v>
      </c>
      <c r="I33" s="475">
        <f t="shared" ref="I33:I39" si="15">I26</f>
        <v>0.2</v>
      </c>
      <c r="J33" s="707">
        <f t="shared" si="9"/>
        <v>4000</v>
      </c>
      <c r="K33" s="475">
        <f t="shared" ref="K33:K39" si="16">K26</f>
        <v>0.2</v>
      </c>
      <c r="L33" s="707">
        <f t="shared" si="10"/>
        <v>4000</v>
      </c>
      <c r="M33" s="724"/>
      <c r="N33" s="701"/>
      <c r="O33" s="701"/>
      <c r="P33" s="725"/>
      <c r="Q33" s="700">
        <f t="shared" si="11"/>
        <v>1</v>
      </c>
      <c r="R33" s="701"/>
    </row>
    <row r="34" spans="1:18">
      <c r="A34" s="750" t="str">
        <f>'1. Detailed Budget POA (2)'!C73</f>
        <v xml:space="preserve">Evaluación Final </v>
      </c>
      <c r="B34" s="749">
        <f>'1. Detailed Budget POA (2)'!G73</f>
        <v>30000</v>
      </c>
      <c r="C34" s="475">
        <f t="shared" si="12"/>
        <v>0.2</v>
      </c>
      <c r="D34" s="707">
        <f t="shared" ref="D34:D39" si="17">$B34*C34</f>
        <v>6000</v>
      </c>
      <c r="E34" s="475">
        <f t="shared" si="13"/>
        <v>0.2</v>
      </c>
      <c r="F34" s="707">
        <f t="shared" ref="F34:F39" si="18">$B34*E34</f>
        <v>6000</v>
      </c>
      <c r="G34" s="475">
        <f t="shared" si="14"/>
        <v>0.2</v>
      </c>
      <c r="H34" s="707">
        <f t="shared" ref="H34:H39" si="19">$B34*G34</f>
        <v>6000</v>
      </c>
      <c r="I34" s="475">
        <f t="shared" si="15"/>
        <v>0.2</v>
      </c>
      <c r="J34" s="707">
        <f t="shared" ref="J34:J39" si="20">$B34*I34</f>
        <v>6000</v>
      </c>
      <c r="K34" s="475">
        <f t="shared" si="16"/>
        <v>0.25</v>
      </c>
      <c r="L34" s="707">
        <f t="shared" ref="L34:L39" si="21">$B34*K34</f>
        <v>7500</v>
      </c>
      <c r="M34" s="701"/>
      <c r="N34" s="701"/>
      <c r="O34" s="701"/>
      <c r="P34" s="701"/>
      <c r="Q34" s="700">
        <f t="shared" si="11"/>
        <v>1.05</v>
      </c>
      <c r="R34" s="701">
        <f>D34+F34+H34+J34+L34</f>
        <v>31500</v>
      </c>
    </row>
    <row r="35" spans="1:18">
      <c r="A35" s="750" t="str">
        <f>'1. Detailed Budget POA (2)'!C74</f>
        <v>Impacto</v>
      </c>
      <c r="B35" s="749">
        <f>'1. Detailed Budget POA (2)'!G74</f>
        <v>30000</v>
      </c>
      <c r="C35" s="475">
        <f t="shared" si="12"/>
        <v>0.2</v>
      </c>
      <c r="D35" s="707">
        <f t="shared" si="17"/>
        <v>6000</v>
      </c>
      <c r="E35" s="475">
        <f t="shared" si="13"/>
        <v>0.2</v>
      </c>
      <c r="F35" s="707">
        <f t="shared" si="18"/>
        <v>6000</v>
      </c>
      <c r="G35" s="475">
        <f t="shared" si="14"/>
        <v>0.2</v>
      </c>
      <c r="H35" s="707">
        <f t="shared" si="19"/>
        <v>6000</v>
      </c>
      <c r="I35" s="475">
        <f t="shared" si="15"/>
        <v>0.2</v>
      </c>
      <c r="J35" s="707">
        <f t="shared" si="20"/>
        <v>6000</v>
      </c>
      <c r="K35" s="475">
        <f t="shared" si="16"/>
        <v>0.2</v>
      </c>
      <c r="L35" s="707">
        <f t="shared" si="21"/>
        <v>6000</v>
      </c>
      <c r="Q35" s="700">
        <f t="shared" si="11"/>
        <v>1</v>
      </c>
    </row>
    <row r="36" spans="1:18">
      <c r="A36" s="750" t="str">
        <f>'1. Detailed Budget POA (2)'!C75</f>
        <v>PCR</v>
      </c>
      <c r="B36" s="749">
        <f>'1. Detailed Budget POA (2)'!G75</f>
        <v>30000</v>
      </c>
      <c r="C36" s="475">
        <f t="shared" si="12"/>
        <v>0.2</v>
      </c>
      <c r="D36" s="707">
        <f t="shared" si="17"/>
        <v>6000</v>
      </c>
      <c r="E36" s="475">
        <f t="shared" si="13"/>
        <v>0.2</v>
      </c>
      <c r="F36" s="707">
        <f t="shared" si="18"/>
        <v>6000</v>
      </c>
      <c r="G36" s="475">
        <f t="shared" si="14"/>
        <v>0.2</v>
      </c>
      <c r="H36" s="707">
        <f t="shared" si="19"/>
        <v>6000</v>
      </c>
      <c r="I36" s="475">
        <f t="shared" si="15"/>
        <v>0.2</v>
      </c>
      <c r="J36" s="707">
        <f t="shared" si="20"/>
        <v>6000</v>
      </c>
      <c r="K36" s="475">
        <f t="shared" si="16"/>
        <v>0.2</v>
      </c>
      <c r="L36" s="707">
        <f t="shared" si="21"/>
        <v>6000</v>
      </c>
      <c r="Q36" s="700">
        <f t="shared" si="11"/>
        <v>1</v>
      </c>
    </row>
    <row r="37" spans="1:18">
      <c r="A37" s="750" t="str">
        <f>'1. Detailed Budget POA (2)'!C76</f>
        <v>Auditorías</v>
      </c>
      <c r="B37" s="749">
        <f>'1. Detailed Budget POA (2)'!G76</f>
        <v>100000</v>
      </c>
      <c r="C37" s="475">
        <f t="shared" si="12"/>
        <v>0.2</v>
      </c>
      <c r="D37" s="707">
        <f t="shared" si="17"/>
        <v>20000</v>
      </c>
      <c r="E37" s="475">
        <f t="shared" si="13"/>
        <v>0.2</v>
      </c>
      <c r="F37" s="707">
        <f t="shared" si="18"/>
        <v>20000</v>
      </c>
      <c r="G37" s="475">
        <f t="shared" si="14"/>
        <v>0.2</v>
      </c>
      <c r="H37" s="707">
        <f t="shared" si="19"/>
        <v>20000</v>
      </c>
      <c r="I37" s="475">
        <f t="shared" si="15"/>
        <v>0.2</v>
      </c>
      <c r="J37" s="707">
        <f t="shared" si="20"/>
        <v>20000</v>
      </c>
      <c r="K37" s="475">
        <f t="shared" si="16"/>
        <v>0.2</v>
      </c>
      <c r="L37" s="707">
        <f t="shared" si="21"/>
        <v>20000</v>
      </c>
      <c r="Q37" s="700">
        <f t="shared" si="11"/>
        <v>1</v>
      </c>
    </row>
    <row r="38" spans="1:18">
      <c r="A38" s="751" t="s">
        <v>204</v>
      </c>
      <c r="B38" s="749">
        <f>SUM('1. Detailed Budget POA (2)'!L64:L77)+SUM('1. Detailed Budget POA (2)'!P64:P77)+SUM('1. Detailed Budget POA (2)'!T64:T77)+SUM('1. Detailed Budget POA (2)'!AB64:AB77)</f>
        <v>710080.7469879518</v>
      </c>
      <c r="C38" s="475">
        <f t="shared" si="12"/>
        <v>0.2</v>
      </c>
      <c r="D38" s="707">
        <f t="shared" si="17"/>
        <v>142016.14939759037</v>
      </c>
      <c r="E38" s="475">
        <f t="shared" si="13"/>
        <v>0.2</v>
      </c>
      <c r="F38" s="707">
        <f t="shared" si="18"/>
        <v>142016.14939759037</v>
      </c>
      <c r="G38" s="475">
        <f t="shared" si="14"/>
        <v>0.2</v>
      </c>
      <c r="H38" s="707">
        <f t="shared" si="19"/>
        <v>142016.14939759037</v>
      </c>
      <c r="I38" s="475">
        <f t="shared" si="15"/>
        <v>0.2</v>
      </c>
      <c r="J38" s="707">
        <f t="shared" si="20"/>
        <v>142016.14939759037</v>
      </c>
      <c r="K38" s="475">
        <f t="shared" si="16"/>
        <v>0.2</v>
      </c>
      <c r="L38" s="707">
        <f t="shared" si="21"/>
        <v>142016.14939759037</v>
      </c>
      <c r="Q38" s="700">
        <f t="shared" si="11"/>
        <v>1</v>
      </c>
    </row>
    <row r="39" spans="1:18">
      <c r="A39" s="750" t="str">
        <f>'1. Detailed Budget POA (2)'!C77</f>
        <v>Apoyo a la ejecución</v>
      </c>
      <c r="B39" s="749">
        <f>'1. Detailed Budget POA (2)'!G77</f>
        <v>228000</v>
      </c>
      <c r="C39" s="475">
        <f t="shared" si="12"/>
        <v>0.2</v>
      </c>
      <c r="D39" s="707">
        <f t="shared" si="17"/>
        <v>45600</v>
      </c>
      <c r="E39" s="475">
        <f t="shared" si="13"/>
        <v>0.2</v>
      </c>
      <c r="F39" s="707">
        <f t="shared" si="18"/>
        <v>45600</v>
      </c>
      <c r="G39" s="475">
        <f t="shared" si="14"/>
        <v>0.2</v>
      </c>
      <c r="H39" s="707">
        <f t="shared" si="19"/>
        <v>45600</v>
      </c>
      <c r="I39" s="475">
        <f t="shared" si="15"/>
        <v>0.2</v>
      </c>
      <c r="J39" s="707">
        <f t="shared" si="20"/>
        <v>45600</v>
      </c>
      <c r="K39" s="475">
        <f t="shared" si="16"/>
        <v>0.2</v>
      </c>
      <c r="L39" s="707">
        <f t="shared" si="21"/>
        <v>45600</v>
      </c>
    </row>
  </sheetData>
  <mergeCells count="10">
    <mergeCell ref="M24:P24"/>
    <mergeCell ref="A23:L23"/>
    <mergeCell ref="A24:A25"/>
    <mergeCell ref="M3:P3"/>
    <mergeCell ref="M10:P10"/>
    <mergeCell ref="A1:P1"/>
    <mergeCell ref="M2:P2"/>
    <mergeCell ref="A3:A4"/>
    <mergeCell ref="A9:L9"/>
    <mergeCell ref="A10:A11"/>
  </mergeCells>
  <phoneticPr fontId="2" type="noConversion"/>
  <printOptions horizontalCentered="1"/>
  <pageMargins left="0.78740157480314965" right="0.78740157480314965" top="0.39370078740157483" bottom="0.39370078740157483" header="0" footer="0"/>
  <pageSetup paperSize="9" scale="4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8"/>
  <dimension ref="A1:M17"/>
  <sheetViews>
    <sheetView topLeftCell="A2" workbookViewId="0">
      <selection activeCell="B3" sqref="B3:D3"/>
    </sheetView>
  </sheetViews>
  <sheetFormatPr defaultColWidth="10.28515625" defaultRowHeight="14.45"/>
  <cols>
    <col min="1" max="1" width="48" style="256" customWidth="1"/>
    <col min="2" max="2" width="10.85546875" style="256" customWidth="1"/>
    <col min="3" max="3" width="10.140625" style="256" bestFit="1" customWidth="1"/>
    <col min="4" max="4" width="10.28515625" style="256" customWidth="1"/>
    <col min="5" max="5" width="10.140625" style="256" customWidth="1"/>
    <col min="6" max="7" width="10.28515625" style="256"/>
    <col min="8" max="8" width="11.28515625" style="256" bestFit="1" customWidth="1"/>
    <col min="9" max="9" width="13" style="256" customWidth="1"/>
    <col min="10" max="16384" width="10.28515625" style="256"/>
  </cols>
  <sheetData>
    <row r="1" spans="1:13">
      <c r="A1" s="912" t="s">
        <v>205</v>
      </c>
      <c r="B1" s="913"/>
      <c r="C1" s="913"/>
      <c r="D1" s="550"/>
      <c r="E1" s="550"/>
    </row>
    <row r="2" spans="1:13">
      <c r="A2" s="551" t="s">
        <v>151</v>
      </c>
      <c r="B2" s="551" t="s">
        <v>152</v>
      </c>
      <c r="C2" s="551" t="s">
        <v>206</v>
      </c>
      <c r="D2" s="551" t="s">
        <v>207</v>
      </c>
      <c r="E2" s="551" t="s">
        <v>107</v>
      </c>
    </row>
    <row r="3" spans="1:13" ht="15.75" customHeight="1">
      <c r="A3" s="552" t="s">
        <v>208</v>
      </c>
      <c r="B3" s="553">
        <f>B4+B5</f>
        <v>26600000</v>
      </c>
      <c r="C3" s="553">
        <f t="shared" ref="C3" si="0">C4+C5</f>
        <v>3617919</v>
      </c>
      <c r="D3" s="553">
        <f>D4+D5</f>
        <v>30217919</v>
      </c>
      <c r="E3" s="554">
        <f>D3/$D$7</f>
        <v>0.90880960090044438</v>
      </c>
      <c r="G3" s="257"/>
      <c r="H3" s="257"/>
      <c r="I3" s="257"/>
      <c r="J3" s="257"/>
    </row>
    <row r="4" spans="1:13" ht="36.75" customHeight="1">
      <c r="A4" s="555" t="str">
        <f>'2. Pluriannual Plan PEP'!A3</f>
        <v>Componente I. Sistema de Gestión Presupuestaria de Planillas del Sector Público</v>
      </c>
      <c r="B4" s="556">
        <v>25486455</v>
      </c>
      <c r="C4" s="556">
        <v>3339533</v>
      </c>
      <c r="D4" s="557">
        <f>B4+C4</f>
        <v>28825988</v>
      </c>
      <c r="E4" s="558">
        <f>D4/$D$7</f>
        <v>0.8669470141157305</v>
      </c>
      <c r="G4" s="257"/>
      <c r="H4" s="257">
        <v>1</v>
      </c>
      <c r="I4" s="257"/>
      <c r="L4" s="415"/>
      <c r="M4" s="415"/>
    </row>
    <row r="5" spans="1:13" ht="37.5" customHeight="1">
      <c r="A5" s="555" t="str">
        <f>'2. Pluriannual Plan PEP'!A10</f>
        <v xml:space="preserve">Componente 2 - Mejora de capacidades del servicio de información presupuestaria </v>
      </c>
      <c r="B5" s="556">
        <v>1113545</v>
      </c>
      <c r="C5" s="556">
        <v>278386</v>
      </c>
      <c r="D5" s="557">
        <f>B5+C5</f>
        <v>1391931</v>
      </c>
      <c r="E5" s="558">
        <f>D5/$D$7</f>
        <v>4.1862586784713947E-2</v>
      </c>
      <c r="G5" s="257"/>
      <c r="H5" s="257"/>
      <c r="I5" s="257"/>
      <c r="L5" s="415"/>
      <c r="M5" s="415"/>
    </row>
    <row r="6" spans="1:13">
      <c r="A6" s="552" t="s">
        <v>209</v>
      </c>
      <c r="B6" s="559">
        <v>0</v>
      </c>
      <c r="C6" s="553">
        <f>'2. Pluriannual Plan PEP'!B25</f>
        <v>3032080.7469879519</v>
      </c>
      <c r="D6" s="553">
        <f>C6</f>
        <v>3032080.7469879519</v>
      </c>
      <c r="E6" s="554">
        <f>D6/$D$7</f>
        <v>9.1190399099555536E-2</v>
      </c>
      <c r="L6" s="415"/>
      <c r="M6" s="415"/>
    </row>
    <row r="7" spans="1:13">
      <c r="A7" s="560" t="s">
        <v>18</v>
      </c>
      <c r="B7" s="561">
        <f>B3+B6</f>
        <v>26600000</v>
      </c>
      <c r="C7" s="561">
        <f t="shared" ref="C7:D7" si="1">C3+C6</f>
        <v>6649999.7469879519</v>
      </c>
      <c r="D7" s="561">
        <f t="shared" si="1"/>
        <v>33249999.746987954</v>
      </c>
      <c r="E7" s="561">
        <f t="shared" ref="E7" si="2">E3+E6</f>
        <v>0.99999999999999989</v>
      </c>
      <c r="G7" s="257"/>
      <c r="H7" s="257"/>
      <c r="I7" s="257"/>
    </row>
    <row r="8" spans="1:13">
      <c r="B8" s="368"/>
      <c r="C8" s="368"/>
    </row>
    <row r="10" spans="1:13" ht="16.149999999999999" thickBot="1">
      <c r="B10" s="914" t="s">
        <v>210</v>
      </c>
      <c r="C10" s="915"/>
      <c r="D10" s="915"/>
      <c r="E10" s="915"/>
      <c r="F10" s="915"/>
      <c r="G10" s="915"/>
      <c r="H10" s="915"/>
      <c r="I10" s="524"/>
    </row>
    <row r="11" spans="1:13">
      <c r="B11" s="416" t="s">
        <v>211</v>
      </c>
      <c r="C11" s="417" t="s">
        <v>197</v>
      </c>
      <c r="D11" s="417" t="s">
        <v>198</v>
      </c>
      <c r="E11" s="417" t="s">
        <v>199</v>
      </c>
      <c r="F11" s="417" t="s">
        <v>200</v>
      </c>
      <c r="G11" s="417" t="s">
        <v>201</v>
      </c>
      <c r="H11" s="418" t="s">
        <v>18</v>
      </c>
    </row>
    <row r="12" spans="1:13">
      <c r="B12" s="419" t="s">
        <v>152</v>
      </c>
      <c r="C12" s="420">
        <f>$B$7*C15</f>
        <v>2806305.3819384784</v>
      </c>
      <c r="D12" s="420">
        <f t="shared" ref="D12:G12" si="3">$B$7*D15</f>
        <v>3743030.1551208412</v>
      </c>
      <c r="E12" s="420">
        <f t="shared" si="3"/>
        <v>7068128.096100498</v>
      </c>
      <c r="F12" s="420">
        <f t="shared" si="3"/>
        <v>6491268.1834200909</v>
      </c>
      <c r="G12" s="420">
        <f t="shared" si="3"/>
        <v>6491268.1834200909</v>
      </c>
      <c r="H12" s="421">
        <f>SUM(C12:G12)</f>
        <v>26600000</v>
      </c>
    </row>
    <row r="13" spans="1:13">
      <c r="B13" s="419" t="s">
        <v>153</v>
      </c>
      <c r="C13" s="420">
        <f>$C$7*C15</f>
        <v>701576.31879179738</v>
      </c>
      <c r="D13" s="420">
        <f t="shared" ref="D13:G13" si="4">$C$7*D15</f>
        <v>935757.50317751383</v>
      </c>
      <c r="E13" s="420">
        <f t="shared" si="4"/>
        <v>1767031.9567949905</v>
      </c>
      <c r="F13" s="420">
        <f t="shared" si="4"/>
        <v>1622816.984111825</v>
      </c>
      <c r="G13" s="420">
        <f t="shared" si="4"/>
        <v>1622816.984111825</v>
      </c>
      <c r="H13" s="420">
        <f>SUM(C13:G13)</f>
        <v>6649999.7469879519</v>
      </c>
    </row>
    <row r="14" spans="1:13">
      <c r="B14" s="422" t="s">
        <v>18</v>
      </c>
      <c r="C14" s="423">
        <f t="shared" ref="C14:H14" si="5">C12+C13</f>
        <v>3507881.7007302758</v>
      </c>
      <c r="D14" s="423">
        <f t="shared" si="5"/>
        <v>4678787.6582983546</v>
      </c>
      <c r="E14" s="423">
        <f t="shared" si="5"/>
        <v>8835160.0528954882</v>
      </c>
      <c r="F14" s="423">
        <f t="shared" si="5"/>
        <v>8114085.1675319159</v>
      </c>
      <c r="G14" s="423">
        <f t="shared" si="5"/>
        <v>8114085.1675319159</v>
      </c>
      <c r="H14" s="423">
        <f t="shared" si="5"/>
        <v>33249999.746987954</v>
      </c>
    </row>
    <row r="15" spans="1:13">
      <c r="B15" s="422" t="s">
        <v>107</v>
      </c>
      <c r="C15" s="562">
        <f>'2. Pluriannual Plan PEP'!C4</f>
        <v>0.10550020232851423</v>
      </c>
      <c r="D15" s="562">
        <f>'2. Pluriannual Plan PEP'!E4</f>
        <v>0.14071541936544515</v>
      </c>
      <c r="E15" s="562">
        <f>'2. Pluriannual Plan PEP'!G4</f>
        <v>0.26571910135716159</v>
      </c>
      <c r="F15" s="562">
        <f>'2. Pluriannual Plan PEP'!I4</f>
        <v>0.24403263847443951</v>
      </c>
      <c r="G15" s="562">
        <f>'2. Pluriannual Plan PEP'!K4</f>
        <v>0.24403263847443951</v>
      </c>
      <c r="H15" s="424">
        <f>+SUM(C15:G15)</f>
        <v>1</v>
      </c>
    </row>
    <row r="16" spans="1:13">
      <c r="B16" s="258"/>
    </row>
    <row r="17" spans="3:8">
      <c r="C17" s="563">
        <f>C14/$D$7</f>
        <v>0.10550020232851422</v>
      </c>
      <c r="D17" s="563">
        <f t="shared" ref="D17:G17" si="6">D14/$D$7</f>
        <v>0.14071541936544513</v>
      </c>
      <c r="E17" s="563">
        <f t="shared" si="6"/>
        <v>0.26571910135716154</v>
      </c>
      <c r="F17" s="563">
        <f t="shared" si="6"/>
        <v>0.24403263847443948</v>
      </c>
      <c r="G17" s="563">
        <f t="shared" si="6"/>
        <v>0.24403263847443948</v>
      </c>
      <c r="H17" s="257"/>
    </row>
  </sheetData>
  <mergeCells count="2">
    <mergeCell ref="A1:C1"/>
    <mergeCell ref="B10:H10"/>
  </mergeCells>
  <phoneticPr fontId="2" type="noConversion"/>
  <printOptions horizontalCentered="1" verticalCentered="1"/>
  <pageMargins left="0.78740157480314965" right="0.78740157480314965" top="0.98425196850393704" bottom="0.98425196850393704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0"/>
  <sheetViews>
    <sheetView topLeftCell="A13" workbookViewId="0">
      <selection activeCell="A22" sqref="A22:B22"/>
    </sheetView>
  </sheetViews>
  <sheetFormatPr defaultColWidth="9.140625" defaultRowHeight="13.15"/>
  <cols>
    <col min="1" max="1" width="42.28515625" style="369" customWidth="1"/>
    <col min="2" max="2" width="35.140625" style="369" customWidth="1"/>
    <col min="3" max="3" width="33.42578125" style="369" customWidth="1"/>
    <col min="4" max="4" width="13.85546875" style="369" bestFit="1" customWidth="1"/>
    <col min="5" max="16384" width="9.140625" style="369"/>
  </cols>
  <sheetData>
    <row r="1" spans="1:3" ht="15" thickBot="1">
      <c r="A1" s="920" t="s">
        <v>212</v>
      </c>
      <c r="B1" s="920"/>
      <c r="C1" s="920"/>
    </row>
    <row r="2" spans="1:3" ht="15.6">
      <c r="A2" s="921" t="s">
        <v>213</v>
      </c>
      <c r="B2" s="922"/>
      <c r="C2" s="923"/>
    </row>
    <row r="3" spans="1:3" ht="15.6">
      <c r="A3" s="388" t="s">
        <v>214</v>
      </c>
      <c r="B3" s="389" t="s">
        <v>215</v>
      </c>
      <c r="C3" s="390" t="s">
        <v>216</v>
      </c>
    </row>
    <row r="4" spans="1:3" ht="14.45" thickBot="1">
      <c r="A4" s="391" t="s">
        <v>217</v>
      </c>
      <c r="B4" s="392">
        <v>2020</v>
      </c>
      <c r="C4" s="393">
        <v>2024</v>
      </c>
    </row>
    <row r="5" spans="1:3" ht="14.45" thickBot="1">
      <c r="A5" s="916"/>
      <c r="B5" s="916"/>
      <c r="C5" s="916"/>
    </row>
    <row r="6" spans="1:3" ht="15.6">
      <c r="A6" s="921" t="s">
        <v>218</v>
      </c>
      <c r="B6" s="922"/>
      <c r="C6" s="923"/>
    </row>
    <row r="7" spans="1:3" ht="14.45" thickBot="1">
      <c r="A7" s="391" t="s">
        <v>219</v>
      </c>
      <c r="B7" s="924"/>
      <c r="C7" s="925"/>
    </row>
    <row r="8" spans="1:3" ht="14.45" thickBot="1">
      <c r="A8" s="916"/>
      <c r="B8" s="916"/>
      <c r="C8" s="916"/>
    </row>
    <row r="9" spans="1:3" ht="15.6">
      <c r="A9" s="917" t="s">
        <v>220</v>
      </c>
      <c r="B9" s="918"/>
    </row>
    <row r="10" spans="1:3" ht="31.15">
      <c r="A10" s="388" t="s">
        <v>221</v>
      </c>
      <c r="B10" s="390" t="s">
        <v>222</v>
      </c>
    </row>
    <row r="11" spans="1:3" ht="13.9">
      <c r="A11" s="394" t="s">
        <v>9</v>
      </c>
      <c r="B11" s="395">
        <f>'4. PA_Detalle PA'!E22</f>
        <v>4690000</v>
      </c>
    </row>
    <row r="12" spans="1:3" ht="13.9">
      <c r="A12" s="394" t="s">
        <v>223</v>
      </c>
      <c r="B12" s="396">
        <f>'4. PA_Detalle PA'!E46</f>
        <v>11506966.361445785</v>
      </c>
    </row>
    <row r="13" spans="1:3" ht="13.9">
      <c r="A13" s="394" t="s">
        <v>224</v>
      </c>
      <c r="B13" s="395">
        <f>'4. PA_Detalle PA'!E51</f>
        <v>589204.81927710841</v>
      </c>
    </row>
    <row r="14" spans="1:3" ht="13.9">
      <c r="A14" s="394" t="s">
        <v>11</v>
      </c>
      <c r="B14" s="396">
        <f>'4. PA_Detalle PA'!E58</f>
        <v>16463828.337349398</v>
      </c>
    </row>
    <row r="15" spans="1:3" ht="13.9">
      <c r="A15" s="394"/>
      <c r="B15" s="395"/>
    </row>
    <row r="16" spans="1:3" ht="13.9">
      <c r="A16" s="394"/>
      <c r="B16" s="396"/>
    </row>
    <row r="17" spans="1:5" ht="13.9">
      <c r="A17" s="397"/>
      <c r="B17" s="395"/>
    </row>
    <row r="18" spans="1:5" ht="13.9">
      <c r="A18" s="394"/>
      <c r="B18" s="395"/>
    </row>
    <row r="19" spans="1:5" ht="13.9">
      <c r="A19" s="397"/>
      <c r="B19" s="395"/>
    </row>
    <row r="20" spans="1:5" ht="16.149999999999999" thickBot="1">
      <c r="A20" s="398" t="s">
        <v>18</v>
      </c>
      <c r="B20" s="399">
        <f>+SUM(B11:B19)</f>
        <v>33249999.518072292</v>
      </c>
    </row>
    <row r="21" spans="1:5" ht="13.9" thickBot="1"/>
    <row r="22" spans="1:5" ht="15.6">
      <c r="A22" s="917" t="s">
        <v>225</v>
      </c>
      <c r="B22" s="919"/>
    </row>
    <row r="23" spans="1:5" ht="31.15">
      <c r="A23" s="388" t="s">
        <v>226</v>
      </c>
      <c r="B23" s="390" t="s">
        <v>222</v>
      </c>
    </row>
    <row r="24" spans="1:5" ht="27.6">
      <c r="A24" s="539" t="str">
        <f>'2. Pluriannual Plan PEP'!A3</f>
        <v>Componente I. Sistema de Gestión Presupuestaria de Planillas del Sector Público</v>
      </c>
      <c r="B24" s="396">
        <f>'2. Pluriannual Plan PEP'!B4</f>
        <v>28825987.771084338</v>
      </c>
      <c r="C24" s="400"/>
      <c r="D24" s="401"/>
      <c r="E24" s="401"/>
    </row>
    <row r="25" spans="1:5" ht="27.6">
      <c r="A25" s="539" t="str">
        <f>'2. Pluriannual Plan PEP'!A10</f>
        <v xml:space="preserve">Componente 2 - Mejora de capacidades del servicio de información presupuestaria </v>
      </c>
      <c r="B25" s="396">
        <f>'2. Pluriannual Plan PEP'!B11</f>
        <v>1391931</v>
      </c>
      <c r="C25" s="400"/>
      <c r="D25" s="401"/>
      <c r="E25" s="401"/>
    </row>
    <row r="26" spans="1:5" ht="13.9">
      <c r="A26" s="539" t="str">
        <f>'2. Pluriannual Plan PEP'!A24</f>
        <v>Total Gestión Administrativa del Proyecto</v>
      </c>
      <c r="B26" s="396">
        <f>'2. Pluriannual Plan PEP'!B25</f>
        <v>3032080.7469879519</v>
      </c>
      <c r="C26" s="400"/>
      <c r="D26" s="401"/>
      <c r="E26" s="401"/>
    </row>
    <row r="27" spans="1:5" ht="13.9">
      <c r="A27" s="539"/>
      <c r="B27" s="395"/>
      <c r="C27" s="400"/>
      <c r="D27" s="401"/>
      <c r="E27" s="401"/>
    </row>
    <row r="28" spans="1:5" ht="13.9">
      <c r="A28" s="539"/>
      <c r="B28" s="395"/>
    </row>
    <row r="29" spans="1:5" ht="13.9">
      <c r="A29" s="539"/>
      <c r="B29" s="395"/>
    </row>
    <row r="30" spans="1:5" ht="16.149999999999999" thickBot="1">
      <c r="A30" s="398" t="s">
        <v>18</v>
      </c>
      <c r="B30" s="399">
        <f>+SUM(B24:B28)</f>
        <v>33249999.518072292</v>
      </c>
    </row>
  </sheetData>
  <mergeCells count="8">
    <mergeCell ref="A8:C8"/>
    <mergeCell ref="A9:B9"/>
    <mergeCell ref="A22:B22"/>
    <mergeCell ref="A1:C1"/>
    <mergeCell ref="A2:C2"/>
    <mergeCell ref="A5:C5"/>
    <mergeCell ref="A6:C6"/>
    <mergeCell ref="B7:C7"/>
  </mergeCells>
  <pageMargins left="0.75" right="0.75" top="1" bottom="1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6"/>
  <sheetViews>
    <sheetView workbookViewId="0">
      <pane xSplit="1" ySplit="3" topLeftCell="B4" activePane="bottomRight" state="frozen"/>
      <selection pane="bottomRight" activeCell="E31" sqref="E31"/>
      <selection pane="bottomLeft" activeCell="A11" sqref="A11"/>
      <selection pane="topRight" activeCell="C1" sqref="C1"/>
    </sheetView>
  </sheetViews>
  <sheetFormatPr defaultColWidth="9.140625" defaultRowHeight="13.9"/>
  <cols>
    <col min="1" max="1" width="49.140625" style="409" customWidth="1"/>
    <col min="2" max="2" width="28.28515625" style="409" customWidth="1"/>
    <col min="3" max="3" width="9.140625" style="409" customWidth="1"/>
    <col min="4" max="4" width="10.42578125" style="409" customWidth="1"/>
    <col min="5" max="5" width="15.42578125" style="412" customWidth="1"/>
    <col min="6" max="6" width="19.7109375" style="409" customWidth="1"/>
    <col min="7" max="7" width="17" style="409" customWidth="1"/>
    <col min="8" max="8" width="15.42578125" style="409" customWidth="1"/>
    <col min="9" max="9" width="15" style="409" customWidth="1"/>
    <col min="10" max="10" width="31.28515625" style="409" customWidth="1"/>
    <col min="11" max="12" width="9.140625" style="409"/>
    <col min="13" max="13" width="68.42578125" style="409" hidden="1" customWidth="1"/>
    <col min="14" max="14" width="57.42578125" style="409" hidden="1" customWidth="1"/>
    <col min="15" max="16384" width="9.140625" style="409"/>
  </cols>
  <sheetData>
    <row r="1" spans="1:16" ht="14.45" thickBot="1">
      <c r="A1" s="928" t="s">
        <v>227</v>
      </c>
      <c r="B1" s="929"/>
      <c r="C1" s="929"/>
      <c r="D1" s="929"/>
      <c r="E1" s="929"/>
      <c r="F1" s="929"/>
      <c r="G1" s="929"/>
      <c r="H1" s="929"/>
      <c r="I1" s="929"/>
      <c r="J1" s="930"/>
      <c r="K1" s="408"/>
      <c r="L1" s="408"/>
      <c r="M1" s="407"/>
      <c r="N1" s="408"/>
      <c r="O1" s="408"/>
      <c r="P1" s="408"/>
    </row>
    <row r="2" spans="1:16" s="405" customFormat="1" ht="15" customHeight="1">
      <c r="A2" s="933" t="s">
        <v>228</v>
      </c>
      <c r="B2" s="933" t="s">
        <v>229</v>
      </c>
      <c r="C2" s="933" t="s">
        <v>230</v>
      </c>
      <c r="D2" s="933" t="s">
        <v>231</v>
      </c>
      <c r="E2" s="527" t="s">
        <v>232</v>
      </c>
      <c r="F2" s="933" t="s">
        <v>233</v>
      </c>
      <c r="G2" s="933" t="s">
        <v>234</v>
      </c>
      <c r="H2" s="933" t="s">
        <v>235</v>
      </c>
      <c r="I2" s="933"/>
      <c r="J2" s="935" t="s">
        <v>236</v>
      </c>
      <c r="K2" s="410"/>
      <c r="L2" s="410"/>
      <c r="M2" s="371" t="s">
        <v>237</v>
      </c>
      <c r="N2" s="410"/>
      <c r="O2" s="410"/>
      <c r="P2" s="410"/>
    </row>
    <row r="3" spans="1:16" s="405" customFormat="1" ht="36" customHeight="1" thickBot="1">
      <c r="A3" s="934"/>
      <c r="B3" s="934"/>
      <c r="C3" s="934"/>
      <c r="D3" s="934"/>
      <c r="E3" s="526" t="s">
        <v>238</v>
      </c>
      <c r="F3" s="934"/>
      <c r="G3" s="934"/>
      <c r="H3" s="768" t="s">
        <v>239</v>
      </c>
      <c r="I3" s="768" t="s">
        <v>240</v>
      </c>
      <c r="J3" s="936"/>
      <c r="K3" s="410"/>
      <c r="L3" s="410"/>
      <c r="M3" s="411"/>
      <c r="N3" s="410"/>
      <c r="O3" s="410"/>
      <c r="P3" s="410"/>
    </row>
    <row r="4" spans="1:16" s="405" customFormat="1">
      <c r="A4" s="931" t="s">
        <v>9</v>
      </c>
      <c r="B4" s="931"/>
      <c r="C4" s="931"/>
      <c r="D4" s="931"/>
      <c r="E4" s="931"/>
      <c r="F4" s="931"/>
      <c r="G4" s="931"/>
      <c r="H4" s="931"/>
      <c r="I4" s="931"/>
      <c r="J4" s="932"/>
      <c r="K4" s="410"/>
      <c r="L4" s="410"/>
      <c r="M4" s="371" t="s">
        <v>241</v>
      </c>
      <c r="N4" s="410"/>
      <c r="O4" s="410"/>
      <c r="P4" s="410"/>
    </row>
    <row r="5" spans="1:16" ht="39.6">
      <c r="A5" s="1048" t="str">
        <f>'1. Detailed Budget POA (2)'!C10</f>
        <v>Contratación del equipo de profesionales necesarios para la supervisión técnica de los servicios contratados en el Componente 1 del Proyecto SIGEP-SP.</v>
      </c>
      <c r="B5" s="1048" t="s">
        <v>242</v>
      </c>
      <c r="C5" s="1048"/>
      <c r="D5" s="1048"/>
      <c r="E5" s="1049">
        <f>'1. Detailed Budget POA (2)'!G10</f>
        <v>2131200</v>
      </c>
      <c r="F5" s="1050">
        <v>1.1000000000000001</v>
      </c>
      <c r="G5" s="1048" t="s">
        <v>243</v>
      </c>
      <c r="H5" s="1048">
        <v>2020</v>
      </c>
      <c r="I5" s="1048"/>
      <c r="J5" s="1051"/>
      <c r="K5" s="408"/>
      <c r="L5" s="408"/>
      <c r="M5" s="370" t="s">
        <v>244</v>
      </c>
      <c r="N5" s="408"/>
      <c r="O5" s="408"/>
      <c r="P5" s="408"/>
    </row>
    <row r="6" spans="1:16" ht="26.45">
      <c r="A6" s="1048" t="str">
        <f>'1. Detailed Budget POA (2)'!C20</f>
        <v>Consultoría para la preparación de los términos de referencia de la contratación de la certificación</v>
      </c>
      <c r="B6" s="1048" t="s">
        <v>242</v>
      </c>
      <c r="C6" s="1048"/>
      <c r="D6" s="1048"/>
      <c r="E6" s="1049">
        <f>'1. Detailed Budget POA (2)'!G20</f>
        <v>7400</v>
      </c>
      <c r="F6" s="1050">
        <v>1.3</v>
      </c>
      <c r="G6" s="1048"/>
      <c r="H6" s="1048">
        <v>2020</v>
      </c>
      <c r="I6" s="1048"/>
      <c r="J6" s="1051"/>
      <c r="K6" s="408"/>
      <c r="L6" s="408"/>
      <c r="M6" s="370"/>
      <c r="N6" s="408"/>
      <c r="O6" s="408"/>
      <c r="P6" s="408"/>
    </row>
    <row r="7" spans="1:16" ht="26.45">
      <c r="A7" s="1048" t="str">
        <f>'1. Detailed Budget POA (2)'!C20</f>
        <v>Consultoría para la preparación de los términos de referencia de la contratación de la certificación</v>
      </c>
      <c r="B7" s="1048" t="s">
        <v>242</v>
      </c>
      <c r="C7" s="1048"/>
      <c r="D7" s="1048"/>
      <c r="E7" s="1049">
        <f>'1. Detailed Budget POA (2)'!G20</f>
        <v>7400</v>
      </c>
      <c r="F7" s="1052">
        <v>1.4</v>
      </c>
      <c r="G7" s="1048" t="s">
        <v>243</v>
      </c>
      <c r="H7" s="1048">
        <v>2020</v>
      </c>
      <c r="I7" s="1048"/>
      <c r="J7" s="1051"/>
      <c r="K7" s="408"/>
      <c r="L7" s="408"/>
      <c r="M7" s="370" t="s">
        <v>242</v>
      </c>
      <c r="N7" s="408"/>
      <c r="O7" s="408"/>
      <c r="P7" s="408"/>
    </row>
    <row r="8" spans="1:16" ht="26.45">
      <c r="A8" s="1048" t="str">
        <f>'1. Detailed Budget POA (2)'!C32</f>
        <v>Consultorías para apoyar la ejecución del programa de capacitación</v>
      </c>
      <c r="B8" s="1048" t="s">
        <v>242</v>
      </c>
      <c r="C8" s="1048"/>
      <c r="D8" s="1048"/>
      <c r="E8" s="1049">
        <f>'1. Detailed Budget POA (2)'!G32</f>
        <v>222000</v>
      </c>
      <c r="F8" s="1052">
        <v>2.1</v>
      </c>
      <c r="G8" s="1048" t="s">
        <v>243</v>
      </c>
      <c r="H8" s="1048">
        <v>2020</v>
      </c>
      <c r="I8" s="1048"/>
      <c r="J8" s="1051"/>
      <c r="K8" s="408"/>
      <c r="L8" s="408"/>
      <c r="M8" s="370" t="s">
        <v>245</v>
      </c>
      <c r="N8" s="408"/>
      <c r="O8" s="408"/>
      <c r="P8" s="408"/>
    </row>
    <row r="9" spans="1:16" ht="16.5" customHeight="1">
      <c r="A9" s="1053" t="str">
        <f>'1. Detailed Budget POA (2)'!C65</f>
        <v>Coordinador</v>
      </c>
      <c r="B9" s="1048" t="s">
        <v>242</v>
      </c>
      <c r="C9" s="1053"/>
      <c r="D9" s="1053"/>
      <c r="E9" s="1049">
        <f>'1. Detailed Budget POA (2)'!G65</f>
        <v>300000</v>
      </c>
      <c r="F9" s="1054" t="s">
        <v>246</v>
      </c>
      <c r="G9" s="1048" t="s">
        <v>243</v>
      </c>
      <c r="H9" s="1053">
        <v>2020</v>
      </c>
      <c r="I9" s="1053"/>
      <c r="J9" s="1055"/>
      <c r="K9" s="408"/>
      <c r="L9" s="408"/>
      <c r="M9" s="370"/>
      <c r="N9" s="408"/>
      <c r="O9" s="408"/>
      <c r="P9" s="408"/>
    </row>
    <row r="10" spans="1:16" ht="18" customHeight="1">
      <c r="A10" s="1053" t="str">
        <f>'1. Detailed Budget POA (2)'!C66</f>
        <v>Administrativo</v>
      </c>
      <c r="B10" s="1048" t="s">
        <v>242</v>
      </c>
      <c r="C10" s="1053"/>
      <c r="D10" s="1053"/>
      <c r="E10" s="1049">
        <f>'1. Detailed Budget POA (2)'!G66</f>
        <v>480000</v>
      </c>
      <c r="F10" s="1054" t="s">
        <v>246</v>
      </c>
      <c r="G10" s="1048" t="s">
        <v>243</v>
      </c>
      <c r="H10" s="1053">
        <v>2020</v>
      </c>
      <c r="I10" s="1053"/>
      <c r="J10" s="1055"/>
      <c r="K10" s="408"/>
      <c r="L10" s="408"/>
      <c r="M10" s="370"/>
      <c r="N10" s="408"/>
      <c r="O10" s="408"/>
      <c r="P10" s="408"/>
    </row>
    <row r="11" spans="1:16">
      <c r="A11" s="1053" t="str">
        <f>'1. Detailed Budget POA (2)'!C67</f>
        <v>Asesor Legal</v>
      </c>
      <c r="B11" s="1048" t="s">
        <v>242</v>
      </c>
      <c r="C11" s="1053"/>
      <c r="D11" s="1053"/>
      <c r="E11" s="1049">
        <f>'1. Detailed Budget POA (2)'!G67</f>
        <v>144000</v>
      </c>
      <c r="F11" s="1054" t="s">
        <v>246</v>
      </c>
      <c r="G11" s="1048" t="s">
        <v>243</v>
      </c>
      <c r="H11" s="1053">
        <v>2020</v>
      </c>
      <c r="I11" s="1053"/>
      <c r="J11" s="1055"/>
      <c r="K11" s="408"/>
      <c r="L11" s="408"/>
      <c r="M11" s="370"/>
      <c r="N11" s="408"/>
      <c r="O11" s="408"/>
      <c r="P11" s="408"/>
    </row>
    <row r="12" spans="1:16">
      <c r="A12" s="1053" t="str">
        <f>'1. Detailed Budget POA (2)'!C68</f>
        <v>Especialista para el seguimiento COMP II</v>
      </c>
      <c r="B12" s="1048" t="s">
        <v>242</v>
      </c>
      <c r="C12" s="1053"/>
      <c r="D12" s="1053"/>
      <c r="E12" s="1049">
        <f>'1. Detailed Budget POA (2)'!G68</f>
        <v>240000</v>
      </c>
      <c r="F12" s="1054" t="s">
        <v>246</v>
      </c>
      <c r="G12" s="1048" t="s">
        <v>243</v>
      </c>
      <c r="H12" s="1053">
        <v>2020</v>
      </c>
      <c r="I12" s="1053"/>
      <c r="J12" s="1055"/>
      <c r="K12" s="408"/>
      <c r="L12" s="408"/>
      <c r="M12" s="370"/>
      <c r="N12" s="408"/>
      <c r="O12" s="408"/>
      <c r="P12" s="408"/>
    </row>
    <row r="13" spans="1:16">
      <c r="A13" s="1053" t="str">
        <f>'1. Detailed Budget POA (2)'!C69</f>
        <v>Sectorista 1 UCCTF</v>
      </c>
      <c r="B13" s="1053" t="s">
        <v>242</v>
      </c>
      <c r="C13" s="1053"/>
      <c r="D13" s="1053"/>
      <c r="E13" s="1056">
        <f>'1. Detailed Budget POA (2)'!G69</f>
        <v>240000</v>
      </c>
      <c r="F13" s="1054" t="s">
        <v>246</v>
      </c>
      <c r="G13" s="1048" t="s">
        <v>243</v>
      </c>
      <c r="H13" s="1053">
        <v>2020</v>
      </c>
      <c r="I13" s="1053"/>
      <c r="J13" s="1055"/>
      <c r="K13" s="408"/>
      <c r="L13" s="408"/>
      <c r="M13" s="370"/>
      <c r="N13" s="408"/>
      <c r="O13" s="408"/>
      <c r="P13" s="408"/>
    </row>
    <row r="14" spans="1:16">
      <c r="A14" s="1053" t="str">
        <f>'1. Detailed Budget POA (2)'!C70</f>
        <v>Sectorista 2 UCCTF</v>
      </c>
      <c r="B14" s="1053" t="s">
        <v>242</v>
      </c>
      <c r="C14" s="1053"/>
      <c r="D14" s="1053"/>
      <c r="E14" s="1056">
        <f>'1. Detailed Budget POA (2)'!G70</f>
        <v>240000</v>
      </c>
      <c r="F14" s="1054" t="s">
        <v>246</v>
      </c>
      <c r="G14" s="1048" t="s">
        <v>243</v>
      </c>
      <c r="H14" s="1053">
        <v>2020</v>
      </c>
      <c r="I14" s="1053"/>
      <c r="J14" s="1055"/>
      <c r="K14" s="408"/>
      <c r="L14" s="408"/>
      <c r="M14" s="370"/>
      <c r="N14" s="408"/>
      <c r="O14" s="408"/>
      <c r="P14" s="408"/>
    </row>
    <row r="15" spans="1:16">
      <c r="A15" s="1053" t="str">
        <f>'1. Detailed Budget POA (2)'!C71</f>
        <v>Especialista en Monitoreo</v>
      </c>
      <c r="B15" s="1053" t="s">
        <v>242</v>
      </c>
      <c r="C15" s="1053"/>
      <c r="D15" s="1053"/>
      <c r="E15" s="1056">
        <f>'1. Detailed Budget POA (2)'!G71</f>
        <v>240000</v>
      </c>
      <c r="F15" s="1054" t="s">
        <v>246</v>
      </c>
      <c r="G15" s="1048" t="s">
        <v>243</v>
      </c>
      <c r="H15" s="1053">
        <v>2020</v>
      </c>
      <c r="I15" s="1053"/>
      <c r="J15" s="1055"/>
      <c r="K15" s="408"/>
      <c r="L15" s="408"/>
      <c r="M15" s="370"/>
      <c r="N15" s="408"/>
      <c r="O15" s="408"/>
      <c r="P15" s="408"/>
    </row>
    <row r="16" spans="1:16">
      <c r="A16" s="1053" t="str">
        <f>'1. Detailed Budget POA (2)'!C72</f>
        <v>Evaluación Intermedia</v>
      </c>
      <c r="B16" s="1053" t="s">
        <v>242</v>
      </c>
      <c r="C16" s="1053"/>
      <c r="D16" s="1053"/>
      <c r="E16" s="1056">
        <f>'1. Detailed Budget POA (2)'!G72</f>
        <v>20000</v>
      </c>
      <c r="F16" s="1054" t="s">
        <v>246</v>
      </c>
      <c r="G16" s="1048" t="s">
        <v>243</v>
      </c>
      <c r="H16" s="1053">
        <v>2020</v>
      </c>
      <c r="I16" s="1053"/>
      <c r="J16" s="1055"/>
      <c r="K16" s="408"/>
      <c r="L16" s="408"/>
      <c r="M16" s="370"/>
      <c r="N16" s="408"/>
      <c r="O16" s="408"/>
      <c r="P16" s="408"/>
    </row>
    <row r="17" spans="1:16">
      <c r="A17" s="1053" t="str">
        <f>'1. Detailed Budget POA (2)'!C73</f>
        <v xml:space="preserve">Evaluación Final </v>
      </c>
      <c r="B17" s="1053" t="s">
        <v>242</v>
      </c>
      <c r="C17" s="1053"/>
      <c r="D17" s="1053"/>
      <c r="E17" s="1056">
        <f>'1. Detailed Budget POA (2)'!G73</f>
        <v>30000</v>
      </c>
      <c r="F17" s="1054" t="s">
        <v>246</v>
      </c>
      <c r="G17" s="1048" t="s">
        <v>243</v>
      </c>
      <c r="H17" s="1053">
        <v>2020</v>
      </c>
      <c r="I17" s="1053"/>
      <c r="J17" s="1055"/>
      <c r="K17" s="408"/>
      <c r="L17" s="408"/>
      <c r="M17" s="370"/>
      <c r="N17" s="408"/>
      <c r="O17" s="408"/>
      <c r="P17" s="408"/>
    </row>
    <row r="18" spans="1:16">
      <c r="A18" s="1053" t="str">
        <f>'1. Detailed Budget POA (2)'!C74</f>
        <v>Impacto</v>
      </c>
      <c r="B18" s="1053" t="s">
        <v>242</v>
      </c>
      <c r="C18" s="1053"/>
      <c r="D18" s="1053"/>
      <c r="E18" s="1056">
        <f>'1. Detailed Budget POA (2)'!G74</f>
        <v>30000</v>
      </c>
      <c r="F18" s="1054" t="s">
        <v>246</v>
      </c>
      <c r="G18" s="1048" t="s">
        <v>243</v>
      </c>
      <c r="H18" s="1053">
        <v>2020</v>
      </c>
      <c r="I18" s="1053"/>
      <c r="J18" s="1055"/>
      <c r="K18" s="408"/>
      <c r="L18" s="408"/>
      <c r="M18" s="370"/>
      <c r="N18" s="408"/>
      <c r="O18" s="408"/>
      <c r="P18" s="408"/>
    </row>
    <row r="19" spans="1:16">
      <c r="A19" s="1053" t="str">
        <f>'1. Detailed Budget POA (2)'!C75</f>
        <v>PCR</v>
      </c>
      <c r="B19" s="1053" t="s">
        <v>242</v>
      </c>
      <c r="C19" s="1053"/>
      <c r="D19" s="1053"/>
      <c r="E19" s="1056">
        <f>'1. Detailed Budget POA (2)'!G75</f>
        <v>30000</v>
      </c>
      <c r="F19" s="1054" t="s">
        <v>246</v>
      </c>
      <c r="G19" s="1048" t="s">
        <v>243</v>
      </c>
      <c r="H19" s="1053">
        <v>2020</v>
      </c>
      <c r="I19" s="1053"/>
      <c r="J19" s="1055"/>
      <c r="K19" s="408"/>
      <c r="L19" s="408"/>
      <c r="M19" s="370"/>
      <c r="N19" s="408"/>
      <c r="O19" s="408"/>
      <c r="P19" s="408"/>
    </row>
    <row r="20" spans="1:16">
      <c r="A20" s="1053" t="str">
        <f>'1. Detailed Budget POA (2)'!C76</f>
        <v>Auditorías</v>
      </c>
      <c r="B20" s="1053" t="s">
        <v>242</v>
      </c>
      <c r="C20" s="1053"/>
      <c r="D20" s="1053"/>
      <c r="E20" s="1056">
        <f>'1. Detailed Budget POA (2)'!G76</f>
        <v>100000</v>
      </c>
      <c r="F20" s="1054" t="s">
        <v>246</v>
      </c>
      <c r="G20" s="1048" t="s">
        <v>243</v>
      </c>
      <c r="H20" s="1053">
        <v>2020</v>
      </c>
      <c r="I20" s="1053"/>
      <c r="J20" s="1055"/>
      <c r="K20" s="408"/>
      <c r="L20" s="408"/>
      <c r="M20" s="370"/>
      <c r="N20" s="408"/>
      <c r="O20" s="408"/>
      <c r="P20" s="408"/>
    </row>
    <row r="21" spans="1:16" ht="14.45" thickBot="1">
      <c r="A21" s="375" t="s">
        <v>193</v>
      </c>
      <c r="B21" s="375"/>
      <c r="C21" s="375"/>
      <c r="D21" s="375"/>
      <c r="E21" s="376">
        <v>228000</v>
      </c>
      <c r="F21" s="375"/>
      <c r="G21" s="375"/>
      <c r="H21" s="375"/>
      <c r="I21" s="375"/>
      <c r="J21" s="378"/>
      <c r="K21" s="408"/>
      <c r="L21" s="408"/>
      <c r="M21" s="370" t="s">
        <v>247</v>
      </c>
      <c r="N21" s="408"/>
      <c r="O21" s="408"/>
      <c r="P21" s="408"/>
    </row>
    <row r="22" spans="1:16" ht="14.45" thickBot="1">
      <c r="A22" s="528" t="s">
        <v>18</v>
      </c>
      <c r="B22" s="529"/>
      <c r="C22" s="529"/>
      <c r="D22" s="529"/>
      <c r="E22" s="531">
        <f>+SUM(E5:E21)</f>
        <v>4690000</v>
      </c>
      <c r="F22" s="529"/>
      <c r="G22" s="529"/>
      <c r="H22" s="529"/>
      <c r="I22" s="529"/>
      <c r="J22" s="530"/>
      <c r="M22" s="370" t="s">
        <v>248</v>
      </c>
    </row>
    <row r="23" spans="1:16" s="405" customFormat="1" hidden="1">
      <c r="A23" s="926"/>
      <c r="B23" s="926"/>
      <c r="C23" s="926"/>
      <c r="D23" s="926"/>
      <c r="E23" s="926"/>
      <c r="F23" s="926"/>
      <c r="G23" s="926"/>
      <c r="H23" s="926"/>
      <c r="I23" s="926"/>
      <c r="J23" s="927"/>
      <c r="K23" s="406"/>
      <c r="L23" s="406"/>
      <c r="M23" s="371" t="s">
        <v>249</v>
      </c>
      <c r="N23" s="406"/>
      <c r="O23" s="406"/>
      <c r="P23" s="406"/>
    </row>
    <row r="24" spans="1:16" s="405" customFormat="1" ht="15" hidden="1" customHeight="1">
      <c r="A24" s="937" t="s">
        <v>228</v>
      </c>
      <c r="B24" s="937" t="s">
        <v>250</v>
      </c>
      <c r="C24" s="937" t="s">
        <v>230</v>
      </c>
      <c r="D24" s="937" t="s">
        <v>231</v>
      </c>
      <c r="E24" s="525" t="s">
        <v>232</v>
      </c>
      <c r="F24" s="937" t="s">
        <v>233</v>
      </c>
      <c r="G24" s="937" t="s">
        <v>251</v>
      </c>
      <c r="H24" s="937" t="s">
        <v>235</v>
      </c>
      <c r="I24" s="937"/>
      <c r="J24" s="938" t="s">
        <v>252</v>
      </c>
      <c r="K24" s="406"/>
      <c r="L24" s="406"/>
      <c r="M24" s="371" t="s">
        <v>253</v>
      </c>
      <c r="N24" s="406"/>
      <c r="O24" s="406"/>
      <c r="P24" s="406"/>
    </row>
    <row r="25" spans="1:16" s="405" customFormat="1" ht="36.75" hidden="1" customHeight="1" thickBot="1">
      <c r="A25" s="937"/>
      <c r="B25" s="937"/>
      <c r="C25" s="937"/>
      <c r="D25" s="937"/>
      <c r="E25" s="372" t="s">
        <v>238</v>
      </c>
      <c r="F25" s="937"/>
      <c r="G25" s="937"/>
      <c r="H25" s="767" t="s">
        <v>254</v>
      </c>
      <c r="I25" s="767" t="s">
        <v>240</v>
      </c>
      <c r="J25" s="938"/>
      <c r="K25" s="406"/>
      <c r="L25" s="406"/>
      <c r="M25" s="371" t="s">
        <v>255</v>
      </c>
      <c r="N25" s="406"/>
      <c r="O25" s="406"/>
      <c r="P25" s="406"/>
    </row>
    <row r="26" spans="1:16" hidden="1">
      <c r="A26" s="387"/>
      <c r="B26" s="387"/>
      <c r="C26" s="387"/>
      <c r="D26" s="387"/>
      <c r="E26" s="379"/>
      <c r="F26" s="387"/>
      <c r="G26" s="387"/>
      <c r="H26" s="387"/>
      <c r="I26" s="387"/>
      <c r="J26" s="374"/>
      <c r="M26" s="407"/>
    </row>
    <row r="27" spans="1:16" hidden="1">
      <c r="A27" s="387"/>
      <c r="B27" s="387"/>
      <c r="C27" s="387"/>
      <c r="D27" s="387"/>
      <c r="E27" s="379"/>
      <c r="F27" s="387"/>
      <c r="G27" s="387"/>
      <c r="H27" s="387"/>
      <c r="I27" s="387"/>
      <c r="J27" s="374"/>
      <c r="M27" s="407"/>
    </row>
    <row r="28" spans="1:16" hidden="1">
      <c r="A28" s="387"/>
      <c r="B28" s="387"/>
      <c r="C28" s="387"/>
      <c r="D28" s="387"/>
      <c r="E28" s="379"/>
      <c r="F28" s="387"/>
      <c r="G28" s="387"/>
      <c r="H28" s="387"/>
      <c r="I28" s="387"/>
      <c r="J28" s="374"/>
      <c r="M28" s="407"/>
    </row>
    <row r="29" spans="1:16" hidden="1">
      <c r="A29" s="387"/>
      <c r="B29" s="387"/>
      <c r="C29" s="387"/>
      <c r="D29" s="387"/>
      <c r="E29" s="379"/>
      <c r="F29" s="387"/>
      <c r="G29" s="387"/>
      <c r="H29" s="387"/>
      <c r="I29" s="387"/>
      <c r="J29" s="374"/>
      <c r="M29" s="370" t="s">
        <v>256</v>
      </c>
    </row>
    <row r="30" spans="1:16" ht="14.45" hidden="1" thickBot="1">
      <c r="A30" s="375"/>
      <c r="B30" s="375"/>
      <c r="C30" s="375"/>
      <c r="D30" s="375"/>
      <c r="E30" s="376"/>
      <c r="F30" s="375"/>
      <c r="G30" s="375"/>
      <c r="H30" s="375"/>
      <c r="I30" s="375"/>
      <c r="J30" s="378"/>
      <c r="M30" s="370" t="s">
        <v>257</v>
      </c>
    </row>
    <row r="31" spans="1:16" ht="14.45" thickBot="1">
      <c r="M31" s="370" t="s">
        <v>258</v>
      </c>
    </row>
    <row r="32" spans="1:16" s="405" customFormat="1" ht="15.75" customHeight="1">
      <c r="A32" s="940" t="s">
        <v>259</v>
      </c>
      <c r="B32" s="941"/>
      <c r="C32" s="941"/>
      <c r="D32" s="941"/>
      <c r="E32" s="941"/>
      <c r="F32" s="941"/>
      <c r="G32" s="941"/>
      <c r="H32" s="941"/>
      <c r="I32" s="941"/>
      <c r="J32" s="942"/>
      <c r="K32" s="406"/>
      <c r="L32" s="406"/>
      <c r="M32" s="371" t="s">
        <v>245</v>
      </c>
      <c r="N32" s="406"/>
      <c r="O32" s="406"/>
      <c r="P32" s="406"/>
    </row>
    <row r="33" spans="1:14" ht="27.6">
      <c r="A33" s="413" t="str">
        <f>'1. Detailed Budget POA (2)'!H10</f>
        <v>Contratación y customización del software integrado Gestión Presupuestaria de Planillas</v>
      </c>
      <c r="B33" s="1053" t="s">
        <v>242</v>
      </c>
      <c r="C33" s="387"/>
      <c r="D33" s="387"/>
      <c r="E33" s="373">
        <f>'1. Detailed Budget POA (2)'!L10</f>
        <v>2629970</v>
      </c>
      <c r="F33" s="381">
        <v>1.1000000000000001</v>
      </c>
      <c r="G33" s="387" t="s">
        <v>243</v>
      </c>
      <c r="H33" s="387">
        <v>2020</v>
      </c>
      <c r="I33" s="387"/>
      <c r="J33" s="374"/>
      <c r="M33" s="370" t="s">
        <v>260</v>
      </c>
    </row>
    <row r="34" spans="1:14" ht="41.45">
      <c r="A34" s="413" t="str">
        <f>'1. Detailed Budget POA (2)'!H11</f>
        <v>Mantenimiento evolutivo del sistema de Gestión Presupuestaria de Planillas  de acuerdo con la evolución de la normativa vigente</v>
      </c>
      <c r="B34" s="1053" t="s">
        <v>242</v>
      </c>
      <c r="C34" s="387"/>
      <c r="D34" s="387"/>
      <c r="E34" s="373">
        <f>'1. Detailed Budget POA (2)'!L11</f>
        <v>532270.78313253017</v>
      </c>
      <c r="F34" s="381">
        <v>1.1000000000000001</v>
      </c>
      <c r="G34" s="387" t="s">
        <v>243</v>
      </c>
      <c r="H34" s="387">
        <v>2020</v>
      </c>
      <c r="I34" s="387"/>
      <c r="J34" s="374"/>
      <c r="N34" s="407"/>
    </row>
    <row r="35" spans="1:14">
      <c r="A35" s="413" t="str">
        <f>'1. Detailed Budget POA (2)'!H12</f>
        <v>Capacitaciones en el uso del sistema</v>
      </c>
      <c r="B35" s="1053" t="s">
        <v>242</v>
      </c>
      <c r="C35" s="387"/>
      <c r="D35" s="387"/>
      <c r="E35" s="373">
        <f>'1. Detailed Budget POA (2)'!L12</f>
        <v>1142774.3975903615</v>
      </c>
      <c r="F35" s="381">
        <v>1.1000000000000001</v>
      </c>
      <c r="G35" s="387" t="s">
        <v>243</v>
      </c>
      <c r="H35" s="387">
        <v>2020</v>
      </c>
      <c r="I35" s="387"/>
      <c r="J35" s="374"/>
      <c r="M35" s="407"/>
      <c r="N35" s="407"/>
    </row>
    <row r="36" spans="1:14" ht="41.45">
      <c r="A36" s="413" t="str">
        <f>'1. Detailed Budget POA (2)'!H13</f>
        <v xml:space="preserve">Mesa de ayuda. Punto único de contacto de los usuarios del SIGEP-SP para la recepción de sus requerimientos (consultas, solicitudes e incidencias) </v>
      </c>
      <c r="B36" s="1053" t="s">
        <v>242</v>
      </c>
      <c r="C36" s="387"/>
      <c r="D36" s="387"/>
      <c r="E36" s="373">
        <f>'1. Detailed Budget POA (2)'!L13</f>
        <v>1224182.2289156627</v>
      </c>
      <c r="F36" s="381">
        <v>1.1000000000000001</v>
      </c>
      <c r="G36" s="387" t="s">
        <v>243</v>
      </c>
      <c r="H36" s="387">
        <v>2020</v>
      </c>
      <c r="I36" s="387"/>
      <c r="J36" s="374"/>
      <c r="M36" s="407"/>
      <c r="N36" s="407"/>
    </row>
    <row r="37" spans="1:14" ht="69">
      <c r="A37" s="413" t="str">
        <f>'1. Detailed Budget POA (2)'!H15</f>
        <v xml:space="preserve">Proveer el Hosting de la infraestructura tecnológica (ambiente de desarrollo, ambiente de pruebas integrales, ambiente de aceptación y ambiente de producción) que dará soporte al Sistema de Gestión Presupuestaria de Planillas del Sector Público. </v>
      </c>
      <c r="B37" s="1053" t="s">
        <v>242</v>
      </c>
      <c r="C37" s="387"/>
      <c r="D37" s="387"/>
      <c r="E37" s="373">
        <f>'1. Detailed Budget POA (2)'!L15</f>
        <v>3855421.686746988</v>
      </c>
      <c r="F37" s="382">
        <v>1.2</v>
      </c>
      <c r="G37" s="387" t="s">
        <v>243</v>
      </c>
      <c r="H37" s="387">
        <v>2020</v>
      </c>
      <c r="I37" s="387"/>
      <c r="J37" s="374"/>
      <c r="M37" s="407"/>
      <c r="N37" s="407"/>
    </row>
    <row r="38" spans="1:14" ht="96.6">
      <c r="A38" s="413" t="str">
        <f>'1. Detailed Budget POA (2)'!H20</f>
        <v>Certificación de la calidad de los artefactos generados durante la ejecución de las subactividades de Implementación y Despliegue y Mantenimiento Evolutivo del proyecto SIGEP-SP, lo que implica la revisión de los artefactos que se desarrollen durante dichas subactividades con el fin de asegurar un correcto funcionamiento del SIGEP-SP.</v>
      </c>
      <c r="B38" s="1053" t="s">
        <v>242</v>
      </c>
      <c r="C38" s="387"/>
      <c r="D38" s="387"/>
      <c r="E38" s="373">
        <f>'1. Detailed Budget POA (2)'!L20</f>
        <v>610871.38554216875</v>
      </c>
      <c r="F38" s="382">
        <v>1.3</v>
      </c>
      <c r="G38" s="387" t="s">
        <v>243</v>
      </c>
      <c r="H38" s="387">
        <v>2020</v>
      </c>
      <c r="I38" s="387"/>
      <c r="J38" s="374"/>
      <c r="M38" s="407"/>
      <c r="N38" s="407"/>
    </row>
    <row r="39" spans="1:14" ht="124.15">
      <c r="A39" s="413" t="str">
        <f>'1. Detailed Budget POA (2)'!H25</f>
        <v>Diseñar e implementar la estrategia de gestión del cambio en las entidades del alcance del proyecto a fin de mitigar/reducir/eliminar la resistencia al cambio en los futuros usuarios del SIGEP-SP. Incluye las siguientes acciones mínimas: campañas de sensibilización y comunicación, identificación de actores, coordinación de estrategias de comunicación, medición de la satisfacción y diseño e implementación de acciones para lograr la utilización efectiva del SIGEP-SP.</v>
      </c>
      <c r="B39" s="1053" t="s">
        <v>242</v>
      </c>
      <c r="C39" s="387"/>
      <c r="D39" s="387"/>
      <c r="E39" s="373">
        <f>'1. Detailed Budget POA (2)'!L25</f>
        <v>341544.8795180723</v>
      </c>
      <c r="F39" s="382">
        <v>1.4</v>
      </c>
      <c r="G39" s="387" t="s">
        <v>243</v>
      </c>
      <c r="H39" s="387">
        <v>2020</v>
      </c>
      <c r="I39" s="387"/>
      <c r="J39" s="374"/>
      <c r="M39" s="407"/>
      <c r="N39" s="407"/>
    </row>
    <row r="40" spans="1:14" ht="41.45">
      <c r="A40" s="413" t="str">
        <f>'1. Detailed Budget POA (2)'!H32</f>
        <v>Desarrollar los contenidos y los materiales para el dictado presencial de los módulos básico y especializado del programa de capacitación</v>
      </c>
      <c r="B40" s="1053" t="s">
        <v>242</v>
      </c>
      <c r="C40" s="387"/>
      <c r="D40" s="387"/>
      <c r="E40" s="373">
        <f>'1. Detailed Budget POA (2)'!L32</f>
        <v>22500</v>
      </c>
      <c r="F40" s="382">
        <v>2.1</v>
      </c>
      <c r="G40" s="387" t="s">
        <v>243</v>
      </c>
      <c r="H40" s="387">
        <v>2020</v>
      </c>
      <c r="I40" s="387"/>
      <c r="J40" s="374"/>
      <c r="M40" s="407"/>
      <c r="N40" s="407"/>
    </row>
    <row r="41" spans="1:14" ht="69">
      <c r="A41" s="413" t="str">
        <f>'1. Detailed Budget POA (2)'!H33</f>
        <v>Ejecutar 77 ediciones  tanto para el modulo básico y modulo especializado para los operadores de las ORH de los niveles nacional y regional. Del mismo modo  27 ediciones para los operadores de las ORH del nivel local (Ver memoria de cálculo)</v>
      </c>
      <c r="B41" s="1053" t="s">
        <v>242</v>
      </c>
      <c r="C41" s="387"/>
      <c r="D41" s="387"/>
      <c r="E41" s="373">
        <f>'1. Detailed Budget POA (2)'!L33</f>
        <v>910000</v>
      </c>
      <c r="F41" s="382">
        <v>2.1</v>
      </c>
      <c r="G41" s="387" t="s">
        <v>243</v>
      </c>
      <c r="H41" s="387">
        <v>2020</v>
      </c>
      <c r="I41" s="387"/>
      <c r="J41" s="374"/>
      <c r="M41" s="407"/>
      <c r="N41" s="407"/>
    </row>
    <row r="42" spans="1:14" ht="55.15">
      <c r="A42" s="413" t="str">
        <f>'1. Detailed Budget POA (2)'!H34</f>
        <v>Implementar en la plataforma de la Escuela Nacional de Administración Publica - ENAP (SERVIR) los contenidos que a ser desarrollados y haya obtenido la aprobación del MEF a los resultados de una edición piloto de dicha capacitación.</v>
      </c>
      <c r="B42" s="1053" t="s">
        <v>242</v>
      </c>
      <c r="C42" s="387"/>
      <c r="D42" s="387"/>
      <c r="E42" s="373">
        <f>'1. Detailed Budget POA (2)'!L34</f>
        <v>115100</v>
      </c>
      <c r="F42" s="382">
        <v>2.1</v>
      </c>
      <c r="G42" s="387" t="s">
        <v>243</v>
      </c>
      <c r="H42" s="387">
        <v>2020</v>
      </c>
      <c r="I42" s="387"/>
      <c r="J42" s="374"/>
      <c r="M42" s="407"/>
      <c r="N42" s="407"/>
    </row>
    <row r="43" spans="1:14" ht="82.9">
      <c r="A43" s="413" t="str">
        <f>'1. Detailed Budget POA (2)'!H35</f>
        <v>El desarrollo de la modalidad virtual de los cursos de las áreas básica y especializada, a partir de los contenidos previamente desarrollados para las versiones presenciales de los mismos cursos y su habilitación en la plataforma virtual contratada para que puedan ser utilizados por los integrantes de la población objetivo</v>
      </c>
      <c r="B43" s="1053" t="s">
        <v>242</v>
      </c>
      <c r="C43" s="387"/>
      <c r="D43" s="387"/>
      <c r="E43" s="373">
        <f>'1. Detailed Budget POA (2)'!L35</f>
        <v>122331</v>
      </c>
      <c r="F43" s="382">
        <v>2.1</v>
      </c>
      <c r="G43" s="387" t="s">
        <v>243</v>
      </c>
      <c r="H43" s="387">
        <v>2020</v>
      </c>
      <c r="I43" s="387"/>
      <c r="J43" s="374"/>
      <c r="M43" s="407"/>
      <c r="N43" s="407"/>
    </row>
    <row r="44" spans="1:14">
      <c r="A44" s="413"/>
      <c r="B44" s="387"/>
      <c r="C44" s="387"/>
      <c r="D44" s="387"/>
      <c r="E44" s="373"/>
      <c r="F44" s="382"/>
      <c r="G44" s="387"/>
      <c r="H44" s="387"/>
      <c r="I44" s="387"/>
      <c r="J44" s="374"/>
      <c r="M44" s="407"/>
      <c r="N44" s="407"/>
    </row>
    <row r="45" spans="1:14">
      <c r="A45" s="413"/>
      <c r="B45" s="387"/>
      <c r="C45" s="387"/>
      <c r="D45" s="387"/>
      <c r="E45" s="373"/>
      <c r="F45" s="382"/>
      <c r="G45" s="387"/>
      <c r="H45" s="387"/>
      <c r="I45" s="387"/>
      <c r="J45" s="374"/>
      <c r="M45" s="407"/>
      <c r="N45" s="407"/>
    </row>
    <row r="46" spans="1:14" ht="14.45" thickBot="1">
      <c r="A46" s="413" t="s">
        <v>18</v>
      </c>
      <c r="B46" s="387"/>
      <c r="C46" s="387"/>
      <c r="D46" s="387"/>
      <c r="E46" s="532">
        <f>SUM(E33:E45)</f>
        <v>11506966.361445785</v>
      </c>
      <c r="F46" s="381"/>
      <c r="G46" s="387"/>
      <c r="H46" s="387"/>
      <c r="I46" s="387"/>
      <c r="J46" s="374"/>
      <c r="M46" s="407"/>
      <c r="N46" s="407"/>
    </row>
    <row r="47" spans="1:14" s="406" customFormat="1" ht="15.75" customHeight="1">
      <c r="A47" s="926" t="s">
        <v>261</v>
      </c>
      <c r="B47" s="926"/>
      <c r="C47" s="926"/>
      <c r="D47" s="926"/>
      <c r="E47" s="926"/>
      <c r="F47" s="926"/>
      <c r="G47" s="926"/>
      <c r="H47" s="926"/>
      <c r="I47" s="926"/>
      <c r="J47" s="927"/>
      <c r="M47" s="371" t="s">
        <v>245</v>
      </c>
    </row>
    <row r="48" spans="1:14">
      <c r="A48" s="413" t="str">
        <f>'1. Detailed Budget POA (2)'!Q64</f>
        <v>Alquileres Oficina EE</v>
      </c>
      <c r="B48" s="1053" t="s">
        <v>242</v>
      </c>
      <c r="C48" s="387"/>
      <c r="D48" s="387"/>
      <c r="E48" s="373">
        <f>'1. Detailed Budget POA (2)'!T64</f>
        <v>301204.81927710841</v>
      </c>
      <c r="F48" s="381" t="s">
        <v>262</v>
      </c>
      <c r="G48" s="387" t="s">
        <v>243</v>
      </c>
      <c r="H48" s="387">
        <v>2020</v>
      </c>
      <c r="I48" s="387"/>
      <c r="J48" s="374"/>
      <c r="M48" s="407"/>
      <c r="N48" s="407"/>
    </row>
    <row r="49" spans="1:14">
      <c r="A49" s="413" t="str">
        <f>'1. Detailed Budget POA (2)'!Q65</f>
        <v>Gastos con viajes</v>
      </c>
      <c r="B49" s="1053" t="s">
        <v>242</v>
      </c>
      <c r="C49" s="387"/>
      <c r="D49" s="387"/>
      <c r="E49" s="373">
        <f>'1. Detailed Budget POA (2)'!T65</f>
        <v>288000</v>
      </c>
      <c r="F49" s="381" t="s">
        <v>262</v>
      </c>
      <c r="G49" s="387" t="s">
        <v>243</v>
      </c>
      <c r="H49" s="387">
        <v>2020</v>
      </c>
      <c r="I49" s="387"/>
      <c r="J49" s="374"/>
      <c r="M49" s="407"/>
      <c r="N49" s="407"/>
    </row>
    <row r="50" spans="1:14">
      <c r="A50" s="413"/>
      <c r="B50" s="1053"/>
      <c r="C50" s="387"/>
      <c r="D50" s="387"/>
      <c r="E50" s="373"/>
      <c r="F50" s="381"/>
      <c r="G50" s="387"/>
      <c r="H50" s="387"/>
      <c r="I50" s="387"/>
      <c r="J50" s="374"/>
      <c r="M50" s="407"/>
      <c r="N50" s="407"/>
    </row>
    <row r="51" spans="1:14" ht="14.45" thickBot="1">
      <c r="A51" s="413" t="s">
        <v>18</v>
      </c>
      <c r="B51" s="1053"/>
      <c r="C51" s="387"/>
      <c r="D51" s="387"/>
      <c r="E51" s="532">
        <f>SUM(E48:E49)</f>
        <v>589204.81927710841</v>
      </c>
      <c r="F51" s="382"/>
      <c r="G51" s="387"/>
      <c r="H51" s="387"/>
      <c r="I51" s="387"/>
      <c r="J51" s="374"/>
      <c r="M51" s="407"/>
      <c r="N51" s="407"/>
    </row>
    <row r="52" spans="1:14" s="406" customFormat="1" ht="15.75" customHeight="1">
      <c r="A52" s="926" t="s">
        <v>11</v>
      </c>
      <c r="B52" s="926"/>
      <c r="C52" s="926"/>
      <c r="D52" s="926"/>
      <c r="E52" s="926"/>
      <c r="F52" s="926"/>
      <c r="G52" s="926"/>
      <c r="H52" s="926"/>
      <c r="I52" s="926"/>
      <c r="J52" s="927"/>
      <c r="M52" s="371" t="s">
        <v>245</v>
      </c>
    </row>
    <row r="53" spans="1:14" ht="27.6">
      <c r="A53" s="413" t="str">
        <f>'1. Detailed Budget POA (2)'!M10</f>
        <v>Adquisición del equipamiento necesario para el Equipo de Coordinación Técnica del Proyecto SIGEP-SP.</v>
      </c>
      <c r="B53" s="1053" t="s">
        <v>242</v>
      </c>
      <c r="C53" s="387"/>
      <c r="D53" s="387"/>
      <c r="E53" s="373">
        <f>'1. Detailed Budget POA (2)'!P10</f>
        <v>17651.204819277111</v>
      </c>
      <c r="F53" s="382">
        <v>1.1000000000000001</v>
      </c>
      <c r="G53" s="387" t="s">
        <v>243</v>
      </c>
      <c r="H53" s="387">
        <v>2020</v>
      </c>
      <c r="I53" s="387"/>
      <c r="J53" s="374"/>
      <c r="M53" s="407"/>
      <c r="N53" s="407"/>
    </row>
    <row r="54" spans="1:14" ht="41.45">
      <c r="A54" s="413" t="str">
        <f>'1. Detailed Budget POA (2)'!M15</f>
        <v>Equipos del centro de datos, servidores, almacenamiento, ambientes de producción/desarrollo y contingencia, telecomunicación, etc.</v>
      </c>
      <c r="B54" s="1053" t="s">
        <v>242</v>
      </c>
      <c r="C54" s="387"/>
      <c r="D54" s="387"/>
      <c r="E54" s="373">
        <f>'1. Detailed Budget POA (2)'!P15</f>
        <v>7590361.4457831327</v>
      </c>
      <c r="F54" s="382">
        <v>1.2</v>
      </c>
      <c r="G54" s="387" t="s">
        <v>243</v>
      </c>
      <c r="H54" s="387">
        <v>2020</v>
      </c>
      <c r="I54" s="387"/>
      <c r="J54" s="374"/>
      <c r="M54" s="407"/>
      <c r="N54" s="407"/>
    </row>
    <row r="55" spans="1:14" ht="138">
      <c r="A55" s="413" t="str">
        <f>'1. Detailed Budget POA (2)'!M16</f>
        <v>Licencias de Software especializadas necesarias para la operación de la infraestructura tecnológica (ambiente de desarrollo, ambiente de pruebas integrales, ambiente de aceptación y ambiente de producción) del SIGEP-SP y las licencias del aplicativo a adquirir. Se consideran los siguientes tipos de licencias; (ii) Licencia y soporte de base de datos; (ii) Licencia y soporte de la aplicación de software integrado que se adaptará al diseño funcional del proyecto (SIGEP-SP) y; (iii) Licencia y soporte del gestor de contenidos.</v>
      </c>
      <c r="B55" s="1053" t="s">
        <v>242</v>
      </c>
      <c r="C55" s="387"/>
      <c r="D55" s="387"/>
      <c r="E55" s="373">
        <f>'1. Detailed Budget POA (2)'!P16</f>
        <v>8734939.7590361442</v>
      </c>
      <c r="F55" s="382">
        <v>1.2</v>
      </c>
      <c r="G55" s="387" t="s">
        <v>243</v>
      </c>
      <c r="H55" s="387">
        <v>2020</v>
      </c>
      <c r="I55" s="387"/>
      <c r="J55" s="374"/>
      <c r="M55" s="407"/>
      <c r="N55" s="407"/>
    </row>
    <row r="56" spans="1:14">
      <c r="A56" s="413" t="str">
        <f>'1. Detailed Budget POA (2)'!M64</f>
        <v>Equipos de Oficina</v>
      </c>
      <c r="B56" s="1053" t="s">
        <v>242</v>
      </c>
      <c r="C56" s="387"/>
      <c r="D56" s="387"/>
      <c r="E56" s="373">
        <f>'1. Detailed Budget POA (2)'!P64</f>
        <v>120875.92771084337</v>
      </c>
      <c r="F56" s="382">
        <v>1.2</v>
      </c>
      <c r="G56" s="387" t="s">
        <v>243</v>
      </c>
      <c r="H56" s="387">
        <v>2020</v>
      </c>
      <c r="I56" s="387"/>
      <c r="J56" s="374"/>
      <c r="M56" s="407"/>
      <c r="N56" s="407"/>
    </row>
    <row r="57" spans="1:14">
      <c r="A57" s="413"/>
      <c r="B57" s="402"/>
      <c r="C57" s="402"/>
      <c r="D57" s="402"/>
      <c r="E57" s="373"/>
      <c r="F57" s="404"/>
      <c r="G57" s="387"/>
      <c r="H57" s="402"/>
      <c r="I57" s="402"/>
      <c r="J57" s="403"/>
      <c r="M57" s="407"/>
      <c r="N57" s="407"/>
    </row>
    <row r="58" spans="1:14" ht="14.45" thickBot="1">
      <c r="A58" s="535" t="s">
        <v>18</v>
      </c>
      <c r="B58" s="375"/>
      <c r="C58" s="375"/>
      <c r="D58" s="375"/>
      <c r="E58" s="533">
        <f>SUM(E53:E57)</f>
        <v>16463828.337349398</v>
      </c>
      <c r="F58" s="377"/>
      <c r="G58" s="375"/>
      <c r="H58" s="375"/>
      <c r="I58" s="375"/>
      <c r="J58" s="378"/>
      <c r="M58" s="383" t="s">
        <v>263</v>
      </c>
      <c r="N58" s="383" t="s">
        <v>264</v>
      </c>
    </row>
    <row r="59" spans="1:14">
      <c r="A59" s="536" t="s">
        <v>5</v>
      </c>
      <c r="E59" s="532">
        <f>'1. Detailed Budget POA (2)'!B4</f>
        <v>0</v>
      </c>
      <c r="M59" s="383" t="s">
        <v>265</v>
      </c>
      <c r="N59" s="383" t="s">
        <v>264</v>
      </c>
    </row>
    <row r="60" spans="1:14">
      <c r="A60" s="537" t="s">
        <v>266</v>
      </c>
      <c r="B60" s="384"/>
      <c r="C60" s="384"/>
      <c r="D60" s="384"/>
      <c r="E60" s="538">
        <f>E59+E58+E51+E46+E22</f>
        <v>33249999.518072292</v>
      </c>
      <c r="F60" s="385"/>
      <c r="G60" s="384"/>
      <c r="H60" s="384"/>
      <c r="I60" s="384"/>
      <c r="J60" s="384"/>
      <c r="M60" s="383"/>
      <c r="N60" s="383"/>
    </row>
    <row r="61" spans="1:14">
      <c r="C61" s="384"/>
      <c r="D61" s="384"/>
      <c r="E61" s="384"/>
      <c r="F61" s="534"/>
      <c r="G61" s="384"/>
      <c r="H61" s="384"/>
      <c r="I61" s="384"/>
      <c r="J61" s="384"/>
      <c r="M61" s="383" t="s">
        <v>267</v>
      </c>
      <c r="N61" s="383" t="s">
        <v>264</v>
      </c>
    </row>
    <row r="62" spans="1:14" s="405" customFormat="1" ht="15.75" hidden="1" customHeight="1">
      <c r="A62" s="926"/>
      <c r="B62" s="926"/>
      <c r="C62" s="926"/>
      <c r="D62" s="926"/>
      <c r="E62" s="926"/>
      <c r="F62" s="926"/>
      <c r="G62" s="926"/>
      <c r="H62" s="926"/>
      <c r="I62" s="926"/>
      <c r="J62" s="927"/>
      <c r="K62" s="406"/>
      <c r="L62" s="406"/>
      <c r="M62" s="386" t="s">
        <v>268</v>
      </c>
      <c r="N62" s="386" t="s">
        <v>264</v>
      </c>
    </row>
    <row r="63" spans="1:14" s="405" customFormat="1" ht="15" hidden="1" customHeight="1">
      <c r="A63" s="937"/>
      <c r="B63" s="937"/>
      <c r="C63" s="937"/>
      <c r="D63" s="937"/>
      <c r="E63" s="525"/>
      <c r="F63" s="937"/>
      <c r="G63" s="939"/>
      <c r="H63" s="937"/>
      <c r="I63" s="937"/>
      <c r="J63" s="945"/>
      <c r="K63" s="406"/>
      <c r="L63" s="406"/>
      <c r="M63" s="386" t="s">
        <v>269</v>
      </c>
      <c r="N63" s="386" t="s">
        <v>264</v>
      </c>
    </row>
    <row r="64" spans="1:14" s="405" customFormat="1" hidden="1">
      <c r="A64" s="937"/>
      <c r="B64" s="937"/>
      <c r="C64" s="937"/>
      <c r="D64" s="937"/>
      <c r="E64" s="767"/>
      <c r="F64" s="937"/>
      <c r="G64" s="939"/>
      <c r="H64" s="767"/>
      <c r="I64" s="767"/>
      <c r="J64" s="946"/>
      <c r="K64" s="406"/>
      <c r="L64" s="406"/>
      <c r="M64" s="386" t="s">
        <v>270</v>
      </c>
      <c r="N64" s="386" t="s">
        <v>264</v>
      </c>
    </row>
    <row r="65" spans="1:14" hidden="1">
      <c r="A65" s="387"/>
      <c r="B65" s="765"/>
      <c r="C65" s="943"/>
      <c r="D65" s="943"/>
      <c r="E65" s="387"/>
      <c r="F65" s="380"/>
      <c r="G65" s="380"/>
      <c r="H65" s="387"/>
      <c r="I65" s="387"/>
      <c r="J65" s="374"/>
      <c r="M65" s="407"/>
      <c r="N65" s="407"/>
    </row>
    <row r="66" spans="1:14" hidden="1">
      <c r="A66" s="387"/>
      <c r="B66" s="765"/>
      <c r="C66" s="943"/>
      <c r="D66" s="943"/>
      <c r="E66" s="387"/>
      <c r="F66" s="380"/>
      <c r="G66" s="380"/>
      <c r="H66" s="387"/>
      <c r="I66" s="387"/>
      <c r="J66" s="374"/>
      <c r="M66" s="383" t="s">
        <v>271</v>
      </c>
      <c r="N66" s="383" t="s">
        <v>272</v>
      </c>
    </row>
    <row r="67" spans="1:14" hidden="1">
      <c r="A67" s="387"/>
      <c r="B67" s="765"/>
      <c r="C67" s="943"/>
      <c r="D67" s="943"/>
      <c r="E67" s="387"/>
      <c r="F67" s="380"/>
      <c r="G67" s="380"/>
      <c r="H67" s="387"/>
      <c r="I67" s="387"/>
      <c r="J67" s="374"/>
      <c r="M67" s="383" t="s">
        <v>273</v>
      </c>
      <c r="N67" s="383" t="s">
        <v>272</v>
      </c>
    </row>
    <row r="68" spans="1:14" hidden="1">
      <c r="A68" s="387"/>
      <c r="B68" s="765"/>
      <c r="C68" s="943"/>
      <c r="D68" s="943"/>
      <c r="E68" s="387"/>
      <c r="F68" s="380"/>
      <c r="G68" s="380"/>
      <c r="H68" s="387"/>
      <c r="I68" s="387"/>
      <c r="J68" s="374"/>
      <c r="M68" s="383" t="s">
        <v>274</v>
      </c>
      <c r="N68" s="383" t="s">
        <v>272</v>
      </c>
    </row>
    <row r="69" spans="1:14" ht="14.45" hidden="1" thickBot="1">
      <c r="A69" s="375"/>
      <c r="B69" s="766"/>
      <c r="C69" s="944"/>
      <c r="D69" s="944"/>
      <c r="E69" s="375"/>
      <c r="F69" s="377"/>
      <c r="G69" s="377"/>
      <c r="H69" s="375"/>
      <c r="I69" s="375"/>
      <c r="J69" s="378"/>
      <c r="M69" s="383" t="s">
        <v>275</v>
      </c>
      <c r="N69" s="383" t="s">
        <v>272</v>
      </c>
    </row>
    <row r="70" spans="1:14" hidden="1">
      <c r="M70" s="407"/>
      <c r="N70" s="383" t="s">
        <v>272</v>
      </c>
    </row>
    <row r="71" spans="1:14" hidden="1">
      <c r="M71" s="407"/>
      <c r="N71" s="383"/>
    </row>
    <row r="72" spans="1:14" hidden="1">
      <c r="M72" s="407"/>
      <c r="N72" s="407"/>
    </row>
    <row r="73" spans="1:14">
      <c r="E73" s="414"/>
      <c r="M73" s="383" t="s">
        <v>276</v>
      </c>
      <c r="N73" s="383" t="s">
        <v>277</v>
      </c>
    </row>
    <row r="74" spans="1:14">
      <c r="M74" s="407"/>
      <c r="N74" s="407"/>
    </row>
    <row r="75" spans="1:14">
      <c r="M75" s="383" t="s">
        <v>278</v>
      </c>
      <c r="N75" s="383" t="s">
        <v>279</v>
      </c>
    </row>
    <row r="76" spans="1:14">
      <c r="M76" s="383" t="s">
        <v>280</v>
      </c>
      <c r="N76" s="383" t="s">
        <v>279</v>
      </c>
    </row>
    <row r="77" spans="1:14">
      <c r="M77" s="407"/>
      <c r="N77" s="407"/>
    </row>
    <row r="79" spans="1:14">
      <c r="M79" s="383" t="s">
        <v>281</v>
      </c>
      <c r="N79" s="407"/>
    </row>
    <row r="80" spans="1:14">
      <c r="M80" s="383" t="s">
        <v>282</v>
      </c>
      <c r="N80" s="407"/>
    </row>
    <row r="83" spans="5:14">
      <c r="M83" s="370" t="s">
        <v>258</v>
      </c>
      <c r="N83" s="407"/>
    </row>
    <row r="84" spans="5:14">
      <c r="M84" s="370" t="s">
        <v>245</v>
      </c>
      <c r="N84" s="407"/>
    </row>
    <row r="85" spans="5:14">
      <c r="E85" s="409"/>
      <c r="M85" s="370" t="s">
        <v>283</v>
      </c>
      <c r="N85" s="407"/>
    </row>
    <row r="86" spans="5:14">
      <c r="E86" s="409"/>
      <c r="M86" s="370" t="s">
        <v>247</v>
      </c>
    </row>
  </sheetData>
  <mergeCells count="35">
    <mergeCell ref="A47:J47"/>
    <mergeCell ref="A32:J32"/>
    <mergeCell ref="C68:D68"/>
    <mergeCell ref="C69:D69"/>
    <mergeCell ref="J63:J64"/>
    <mergeCell ref="C65:D65"/>
    <mergeCell ref="C66:D66"/>
    <mergeCell ref="C67:D67"/>
    <mergeCell ref="G24:G25"/>
    <mergeCell ref="H24:I24"/>
    <mergeCell ref="J24:J25"/>
    <mergeCell ref="A62:J62"/>
    <mergeCell ref="A63:A64"/>
    <mergeCell ref="B63:B64"/>
    <mergeCell ref="C63:D64"/>
    <mergeCell ref="F63:F64"/>
    <mergeCell ref="G63:G64"/>
    <mergeCell ref="H63:I63"/>
    <mergeCell ref="A24:A25"/>
    <mergeCell ref="F24:F25"/>
    <mergeCell ref="B24:B25"/>
    <mergeCell ref="C24:C25"/>
    <mergeCell ref="D24:D25"/>
    <mergeCell ref="A52:J52"/>
    <mergeCell ref="A23:J23"/>
    <mergeCell ref="A1:J1"/>
    <mergeCell ref="A4:J4"/>
    <mergeCell ref="A2:A3"/>
    <mergeCell ref="B2:B3"/>
    <mergeCell ref="C2:C3"/>
    <mergeCell ref="D2:D3"/>
    <mergeCell ref="F2:F3"/>
    <mergeCell ref="G2:G3"/>
    <mergeCell ref="H2:I2"/>
    <mergeCell ref="J2:J3"/>
  </mergeCells>
  <dataValidations count="5">
    <dataValidation type="list" allowBlank="1" showInputMessage="1" showErrorMessage="1" sqref="G26:G30 G21 G58 G60:G61" xr:uid="{00000000-0002-0000-0700-000000000000}">
      <formula1>#REF!</formula1>
    </dataValidation>
    <dataValidation type="list" allowBlank="1" showInputMessage="1" showErrorMessage="1" sqref="B44:B46 B57:B58" xr:uid="{00000000-0002-0000-0700-000001000000}">
      <formula1>$M$29:$M$33</formula1>
    </dataValidation>
    <dataValidation type="list" allowBlank="1" showInputMessage="1" showErrorMessage="1" sqref="B26:B30 B53:B56 B33:B43 B5:B21 B48:B51" xr:uid="{00000000-0002-0000-0700-000002000000}">
      <formula1>$M$4:$M$25</formula1>
    </dataValidation>
    <dataValidation type="list" allowBlank="1" showInputMessage="1" showErrorMessage="1" sqref="G5:G20 G33:G46 G53:G57 G48:G51" xr:uid="{00000000-0002-0000-0700-000003000000}">
      <formula1>$M$2:$M$2</formula1>
    </dataValidation>
    <dataValidation type="list" allowBlank="1" showInputMessage="1" showErrorMessage="1" sqref="B60" xr:uid="{00000000-0002-0000-0700-000004000000}">
      <formula1>$M$31:$M$33</formula1>
    </dataValidation>
  </dataValidations>
  <pageMargins left="0.75" right="0.75" top="1" bottom="1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9">
    <pageSetUpPr fitToPage="1"/>
  </sheetPr>
  <dimension ref="A1:M433"/>
  <sheetViews>
    <sheetView workbookViewId="0">
      <selection activeCell="K12" sqref="K12:L113"/>
    </sheetView>
  </sheetViews>
  <sheetFormatPr defaultColWidth="10.7109375" defaultRowHeight="13.15" outlineLevelRow="1"/>
  <cols>
    <col min="1" max="1" width="7.85546875" customWidth="1"/>
    <col min="2" max="2" width="37.7109375" customWidth="1"/>
    <col min="3" max="3" width="10.28515625" style="9" customWidth="1"/>
    <col min="4" max="4" width="11.42578125" style="9" customWidth="1"/>
    <col min="5" max="9" width="11.42578125" customWidth="1"/>
    <col min="10" max="10" width="13.7109375" customWidth="1"/>
    <col min="11" max="12" width="11.42578125" customWidth="1"/>
    <col min="13" max="13" width="49.28515625" customWidth="1"/>
  </cols>
  <sheetData>
    <row r="1" spans="1:13" ht="13.9" thickBot="1">
      <c r="A1" s="948" t="s">
        <v>284</v>
      </c>
      <c r="B1" s="1057"/>
      <c r="C1" s="1057"/>
      <c r="D1" s="1057"/>
      <c r="E1" s="1057"/>
      <c r="F1" s="1057"/>
      <c r="G1" s="1057"/>
      <c r="H1" s="1057"/>
      <c r="I1" s="1057"/>
      <c r="J1" s="1057"/>
      <c r="K1" s="1057"/>
      <c r="L1" s="1057"/>
      <c r="M1" s="1058"/>
    </row>
    <row r="2" spans="1:13">
      <c r="A2" s="949" t="s">
        <v>285</v>
      </c>
      <c r="B2" s="1059"/>
      <c r="C2" s="1059"/>
      <c r="D2" s="1059"/>
      <c r="E2" s="1059"/>
      <c r="F2" s="1059"/>
      <c r="G2" s="1059"/>
      <c r="H2" s="1059"/>
      <c r="I2" s="1059"/>
      <c r="J2" s="1059"/>
      <c r="K2" s="1060"/>
      <c r="L2" s="1060"/>
      <c r="M2" s="1061"/>
    </row>
    <row r="3" spans="1:13" ht="13.9" thickBot="1">
      <c r="A3" s="321"/>
      <c r="B3" s="322"/>
      <c r="C3" s="323"/>
      <c r="D3" s="323"/>
      <c r="E3" s="322"/>
      <c r="F3" s="322"/>
      <c r="G3" s="322"/>
      <c r="H3" s="324"/>
      <c r="I3" s="323"/>
      <c r="J3" s="325"/>
      <c r="K3" s="950" t="s">
        <v>286</v>
      </c>
      <c r="L3" s="1062"/>
      <c r="M3" s="326"/>
    </row>
    <row r="4" spans="1:13" ht="36">
      <c r="A4" s="320" t="s">
        <v>287</v>
      </c>
      <c r="B4" s="320" t="s">
        <v>288</v>
      </c>
      <c r="C4" s="320" t="s">
        <v>289</v>
      </c>
      <c r="D4" s="320" t="s">
        <v>290</v>
      </c>
      <c r="E4" s="320" t="s">
        <v>291</v>
      </c>
      <c r="F4" s="320" t="s">
        <v>292</v>
      </c>
      <c r="G4" s="320" t="s">
        <v>293</v>
      </c>
      <c r="H4" s="320" t="s">
        <v>294</v>
      </c>
      <c r="I4" s="320" t="s">
        <v>295</v>
      </c>
      <c r="J4" s="320" t="s">
        <v>296</v>
      </c>
      <c r="K4" s="320" t="s">
        <v>297</v>
      </c>
      <c r="L4" s="320" t="s">
        <v>298</v>
      </c>
      <c r="M4" s="320" t="s">
        <v>299</v>
      </c>
    </row>
    <row r="5" spans="1:13">
      <c r="A5" s="947" t="s">
        <v>300</v>
      </c>
      <c r="B5" s="1063"/>
      <c r="C5" s="1063"/>
      <c r="D5" s="1063"/>
      <c r="E5" s="1063"/>
      <c r="F5" s="1063"/>
      <c r="G5" s="1063"/>
      <c r="H5" s="1063"/>
      <c r="I5" s="1063"/>
      <c r="J5" s="1063"/>
      <c r="K5" s="1063"/>
      <c r="L5" s="1063"/>
      <c r="M5" s="1064"/>
    </row>
    <row r="6" spans="1:13">
      <c r="A6" s="331">
        <v>1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</row>
    <row r="7" spans="1:13">
      <c r="A7" s="331">
        <v>2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</row>
    <row r="8" spans="1:13">
      <c r="A8" s="330"/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</row>
    <row r="9" spans="1:13" ht="24" customHeight="1">
      <c r="A9" s="48"/>
      <c r="B9" s="1065" t="s">
        <v>301</v>
      </c>
      <c r="C9" s="1065"/>
      <c r="D9" s="1065"/>
      <c r="E9" s="1066">
        <f>SUM(E6:E7)</f>
        <v>0</v>
      </c>
      <c r="F9" s="1066">
        <f>SUM(F6:F7)</f>
        <v>0</v>
      </c>
      <c r="G9" s="1066">
        <f>SUM(G6:G7)</f>
        <v>0</v>
      </c>
      <c r="H9" s="48"/>
      <c r="I9" s="48"/>
      <c r="J9" s="48"/>
      <c r="K9" s="48"/>
      <c r="L9" s="48"/>
      <c r="M9" s="48"/>
    </row>
    <row r="10" spans="1:13">
      <c r="A10" s="330"/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</row>
    <row r="11" spans="1:13">
      <c r="A11" s="947" t="s">
        <v>302</v>
      </c>
      <c r="B11" s="1063"/>
      <c r="C11" s="1063"/>
      <c r="D11" s="1063"/>
      <c r="E11" s="1063"/>
      <c r="F11" s="1063"/>
      <c r="G11" s="1063"/>
      <c r="H11" s="1063"/>
      <c r="I11" s="1063"/>
      <c r="J11" s="1063"/>
      <c r="K11" s="1063"/>
      <c r="L11" s="1063"/>
      <c r="M11" s="1064"/>
    </row>
    <row r="12" spans="1:13" ht="39.6">
      <c r="A12" s="771">
        <v>1</v>
      </c>
      <c r="B12" s="327" t="str">
        <f>'1. Detailed Budget POA'!J10</f>
        <v>Consultorías para apoyar la implantación del sistema de planillas en los gobiernos subnacionales</v>
      </c>
      <c r="C12" s="771" t="s">
        <v>303</v>
      </c>
      <c r="D12" s="771" t="s">
        <v>304</v>
      </c>
      <c r="E12" s="328">
        <f>'1. Detailed Budget POA'!N10</f>
        <v>2442528</v>
      </c>
      <c r="F12" s="8"/>
      <c r="G12" s="328">
        <f>SUM(E12:F12)</f>
        <v>2442528</v>
      </c>
      <c r="H12" s="771">
        <v>1.1000000000000001</v>
      </c>
      <c r="I12" s="771" t="s">
        <v>305</v>
      </c>
      <c r="J12" s="771" t="s">
        <v>306</v>
      </c>
      <c r="K12" s="771">
        <v>2019</v>
      </c>
      <c r="L12" s="771">
        <v>2020</v>
      </c>
      <c r="M12" s="8"/>
    </row>
    <row r="13" spans="1:13" ht="26.45">
      <c r="A13" s="3">
        <v>2</v>
      </c>
      <c r="B13" s="327">
        <f>'1. Detailed Budget POA'!J11</f>
        <v>0</v>
      </c>
      <c r="C13" s="771" t="s">
        <v>303</v>
      </c>
      <c r="D13" s="771" t="s">
        <v>304</v>
      </c>
      <c r="E13" s="328">
        <f>'1. Detailed Budget POA'!N11</f>
        <v>0</v>
      </c>
      <c r="F13" s="329"/>
      <c r="G13" s="328">
        <f>SUM(E13:F13)</f>
        <v>0</v>
      </c>
      <c r="H13" s="771">
        <v>1.1000000000000001</v>
      </c>
      <c r="I13" s="771" t="s">
        <v>305</v>
      </c>
      <c r="J13" s="771" t="s">
        <v>306</v>
      </c>
      <c r="K13" s="3">
        <v>2020</v>
      </c>
      <c r="L13" s="3">
        <v>2021</v>
      </c>
      <c r="M13" s="329"/>
    </row>
    <row r="14" spans="1:13" ht="26.45">
      <c r="A14" s="3">
        <v>3</v>
      </c>
      <c r="B14" s="327">
        <f>'1. Detailed Budget POA'!J12</f>
        <v>0</v>
      </c>
      <c r="C14" s="771" t="s">
        <v>303</v>
      </c>
      <c r="D14" s="771" t="s">
        <v>304</v>
      </c>
      <c r="E14" s="328">
        <f>'1. Detailed Budget POA'!N12</f>
        <v>0</v>
      </c>
      <c r="F14" s="329"/>
      <c r="G14" s="328">
        <f>SUM(E14:F14)</f>
        <v>0</v>
      </c>
      <c r="H14" s="771">
        <v>1.1000000000000001</v>
      </c>
      <c r="I14" s="771" t="s">
        <v>305</v>
      </c>
      <c r="J14" s="771" t="s">
        <v>306</v>
      </c>
      <c r="K14" s="3">
        <v>2019</v>
      </c>
      <c r="L14" s="3">
        <v>2019</v>
      </c>
      <c r="M14" s="329"/>
    </row>
    <row r="15" spans="1:13" ht="26.45" hidden="1" outlineLevel="1">
      <c r="A15" s="3"/>
      <c r="B15" s="327">
        <f>'1. Detailed Budget POA'!J13</f>
        <v>0</v>
      </c>
      <c r="C15" s="771" t="s">
        <v>303</v>
      </c>
      <c r="D15" s="771" t="s">
        <v>304</v>
      </c>
      <c r="E15" s="328">
        <f>'1. Detailed Budget POA'!N13</f>
        <v>0</v>
      </c>
      <c r="F15" s="329"/>
      <c r="G15" s="328">
        <f>SUM(E15:F15)</f>
        <v>0</v>
      </c>
      <c r="H15" s="771">
        <v>1.2</v>
      </c>
      <c r="I15" s="771" t="s">
        <v>305</v>
      </c>
      <c r="J15" s="771" t="s">
        <v>306</v>
      </c>
      <c r="K15" s="3"/>
      <c r="L15" s="3"/>
      <c r="M15" s="329"/>
    </row>
    <row r="16" spans="1:13" ht="26.45" hidden="1" outlineLevel="1">
      <c r="A16" s="771"/>
      <c r="B16" s="327">
        <f>'1. Detailed Budget POA'!J18</f>
        <v>0</v>
      </c>
      <c r="C16" s="771" t="s">
        <v>303</v>
      </c>
      <c r="D16" s="771" t="s">
        <v>304</v>
      </c>
      <c r="E16" s="328">
        <f>'1. Detailed Budget POA'!N18</f>
        <v>0</v>
      </c>
      <c r="F16" s="329"/>
      <c r="G16" s="328">
        <f>SUM(E16:F16)</f>
        <v>0</v>
      </c>
      <c r="H16" s="771">
        <v>1.3</v>
      </c>
      <c r="I16" s="771" t="s">
        <v>305</v>
      </c>
      <c r="J16" s="771" t="s">
        <v>306</v>
      </c>
      <c r="K16" s="3"/>
      <c r="L16" s="3"/>
      <c r="M16" s="329"/>
    </row>
    <row r="17" spans="1:13" ht="26.45" collapsed="1">
      <c r="A17" s="3">
        <v>4</v>
      </c>
      <c r="B17" s="327">
        <f>'1. Detailed Budget POA'!J19</f>
        <v>0</v>
      </c>
      <c r="C17" s="771" t="s">
        <v>303</v>
      </c>
      <c r="D17" s="771" t="s">
        <v>304</v>
      </c>
      <c r="E17" s="328">
        <f>'1. Detailed Budget POA'!N19</f>
        <v>0</v>
      </c>
      <c r="F17" s="329"/>
      <c r="G17" s="328">
        <f t="shared" ref="G17:G23" si="0">SUM(E17:F17)</f>
        <v>0</v>
      </c>
      <c r="H17" s="771">
        <v>1.2</v>
      </c>
      <c r="I17" s="771" t="s">
        <v>305</v>
      </c>
      <c r="J17" s="771" t="s">
        <v>306</v>
      </c>
      <c r="K17" s="3">
        <v>2019</v>
      </c>
      <c r="L17" s="3">
        <v>2020</v>
      </c>
      <c r="M17" s="329"/>
    </row>
    <row r="18" spans="1:13" ht="26.45" hidden="1" outlineLevel="1">
      <c r="A18" s="3"/>
      <c r="B18" s="327">
        <f>'1. Detailed Budget POA'!J20</f>
        <v>0</v>
      </c>
      <c r="C18" s="771" t="s">
        <v>303</v>
      </c>
      <c r="D18" s="771" t="s">
        <v>304</v>
      </c>
      <c r="E18" s="328">
        <f>'1. Detailed Budget POA'!N20</f>
        <v>0</v>
      </c>
      <c r="F18" s="329"/>
      <c r="G18" s="328">
        <f t="shared" si="0"/>
        <v>0</v>
      </c>
      <c r="H18" s="771">
        <v>1.3</v>
      </c>
      <c r="I18" s="771" t="s">
        <v>305</v>
      </c>
      <c r="J18" s="771" t="s">
        <v>306</v>
      </c>
      <c r="K18" s="3"/>
      <c r="L18" s="3"/>
      <c r="M18" s="329"/>
    </row>
    <row r="19" spans="1:13" ht="26.45" hidden="1" outlineLevel="1">
      <c r="A19" s="3"/>
      <c r="B19" s="327">
        <f>'1. Detailed Budget POA'!J21</f>
        <v>0</v>
      </c>
      <c r="C19" s="771" t="s">
        <v>303</v>
      </c>
      <c r="D19" s="771" t="s">
        <v>304</v>
      </c>
      <c r="E19" s="328">
        <f>'1. Detailed Budget POA'!N21</f>
        <v>0</v>
      </c>
      <c r="F19" s="329"/>
      <c r="G19" s="328">
        <f t="shared" si="0"/>
        <v>0</v>
      </c>
      <c r="H19" s="771">
        <v>1.3</v>
      </c>
      <c r="I19" s="771" t="s">
        <v>305</v>
      </c>
      <c r="J19" s="771" t="s">
        <v>306</v>
      </c>
      <c r="K19" s="3"/>
      <c r="L19" s="3"/>
      <c r="M19" s="329"/>
    </row>
    <row r="20" spans="1:13" ht="26.45" hidden="1" outlineLevel="1">
      <c r="A20" s="771"/>
      <c r="B20" s="327">
        <f>'1. Detailed Budget POA'!J22</f>
        <v>0</v>
      </c>
      <c r="C20" s="771" t="s">
        <v>303</v>
      </c>
      <c r="D20" s="771" t="s">
        <v>304</v>
      </c>
      <c r="E20" s="328">
        <f>'1. Detailed Budget POA'!N22</f>
        <v>0</v>
      </c>
      <c r="F20" s="329"/>
      <c r="G20" s="328">
        <f t="shared" si="0"/>
        <v>0</v>
      </c>
      <c r="H20" s="771">
        <v>1.3</v>
      </c>
      <c r="I20" s="771" t="s">
        <v>305</v>
      </c>
      <c r="J20" s="771" t="s">
        <v>306</v>
      </c>
      <c r="K20" s="3"/>
      <c r="L20" s="3"/>
      <c r="M20" s="329"/>
    </row>
    <row r="21" spans="1:13" ht="26.45" hidden="1" outlineLevel="1">
      <c r="A21" s="3"/>
      <c r="B21" s="327">
        <f>'1. Detailed Budget POA'!J24</f>
        <v>0</v>
      </c>
      <c r="C21" s="771" t="s">
        <v>303</v>
      </c>
      <c r="D21" s="771" t="s">
        <v>304</v>
      </c>
      <c r="E21" s="328">
        <f>'1. Detailed Budget POA'!N24</f>
        <v>0</v>
      </c>
      <c r="F21" s="329"/>
      <c r="G21" s="328">
        <f t="shared" si="0"/>
        <v>0</v>
      </c>
      <c r="H21" s="771">
        <v>1.3</v>
      </c>
      <c r="I21" s="771" t="s">
        <v>305</v>
      </c>
      <c r="J21" s="771" t="s">
        <v>306</v>
      </c>
      <c r="K21" s="3"/>
      <c r="L21" s="3"/>
      <c r="M21" s="329"/>
    </row>
    <row r="22" spans="1:13" ht="26.45" collapsed="1">
      <c r="A22" s="3">
        <v>5</v>
      </c>
      <c r="B22" s="327" t="e">
        <f>'1. Detailed Budget POA'!#REF!</f>
        <v>#REF!</v>
      </c>
      <c r="C22" s="771" t="s">
        <v>303</v>
      </c>
      <c r="D22" s="771" t="s">
        <v>304</v>
      </c>
      <c r="E22" s="328" t="e">
        <f>'1. Detailed Budget POA'!#REF!</f>
        <v>#REF!</v>
      </c>
      <c r="F22" s="329"/>
      <c r="G22" s="328" t="e">
        <f t="shared" si="0"/>
        <v>#REF!</v>
      </c>
      <c r="H22" s="771">
        <v>1.3</v>
      </c>
      <c r="I22" s="771" t="s">
        <v>305</v>
      </c>
      <c r="J22" s="771" t="s">
        <v>306</v>
      </c>
      <c r="K22" s="3">
        <v>2019</v>
      </c>
      <c r="L22" s="3">
        <v>2020</v>
      </c>
      <c r="M22" s="329"/>
    </row>
    <row r="23" spans="1:13" ht="26.45">
      <c r="A23" s="3">
        <v>6</v>
      </c>
      <c r="B23" s="327" t="e">
        <f>'1. Detailed Budget POA'!#REF!</f>
        <v>#REF!</v>
      </c>
      <c r="C23" s="771" t="s">
        <v>303</v>
      </c>
      <c r="D23" s="771" t="s">
        <v>304</v>
      </c>
      <c r="E23" s="328" t="e">
        <f>'1. Detailed Budget POA'!#REF!</f>
        <v>#REF!</v>
      </c>
      <c r="F23" s="329"/>
      <c r="G23" s="328" t="e">
        <f t="shared" si="0"/>
        <v>#REF!</v>
      </c>
      <c r="H23" s="771">
        <v>1.3</v>
      </c>
      <c r="I23" s="771" t="s">
        <v>305</v>
      </c>
      <c r="J23" s="771" t="s">
        <v>306</v>
      </c>
      <c r="K23" s="3">
        <v>2020</v>
      </c>
      <c r="L23" s="3">
        <v>2021</v>
      </c>
      <c r="M23" s="329"/>
    </row>
    <row r="24" spans="1:13" ht="26.45">
      <c r="A24" s="3">
        <v>7</v>
      </c>
      <c r="B24" s="327" t="e">
        <f>'1. Detailed Budget POA'!#REF!</f>
        <v>#REF!</v>
      </c>
      <c r="C24" s="771" t="s">
        <v>303</v>
      </c>
      <c r="D24" s="771" t="s">
        <v>304</v>
      </c>
      <c r="E24" s="328" t="e">
        <f>'1. Detailed Budget POA'!#REF!</f>
        <v>#REF!</v>
      </c>
      <c r="F24" s="329"/>
      <c r="G24" s="328" t="e">
        <f t="shared" ref="G24:G70" si="1">SUM(E24:F24)</f>
        <v>#REF!</v>
      </c>
      <c r="H24" s="771">
        <v>1.3</v>
      </c>
      <c r="I24" s="771" t="s">
        <v>305</v>
      </c>
      <c r="J24" s="771" t="s">
        <v>306</v>
      </c>
      <c r="K24" s="3">
        <v>2020</v>
      </c>
      <c r="L24" s="3">
        <v>2021</v>
      </c>
      <c r="M24" s="329"/>
    </row>
    <row r="25" spans="1:13" ht="26.45">
      <c r="A25" s="3">
        <v>8</v>
      </c>
      <c r="B25" s="327" t="e">
        <f>'1. Detailed Budget POA'!#REF!</f>
        <v>#REF!</v>
      </c>
      <c r="C25" s="771" t="s">
        <v>303</v>
      </c>
      <c r="D25" s="771" t="s">
        <v>304</v>
      </c>
      <c r="E25" s="328" t="e">
        <f>'1. Detailed Budget POA'!#REF!</f>
        <v>#REF!</v>
      </c>
      <c r="F25" s="329"/>
      <c r="G25" s="328" t="e">
        <f t="shared" si="1"/>
        <v>#REF!</v>
      </c>
      <c r="H25" s="771">
        <v>1.3</v>
      </c>
      <c r="I25" s="771" t="s">
        <v>305</v>
      </c>
      <c r="J25" s="771" t="s">
        <v>306</v>
      </c>
      <c r="K25" s="3">
        <v>2021</v>
      </c>
      <c r="L25" s="3">
        <v>2022</v>
      </c>
      <c r="M25" s="329"/>
    </row>
    <row r="26" spans="1:13" ht="26.45">
      <c r="A26" s="3">
        <v>9</v>
      </c>
      <c r="B26" s="327" t="e">
        <f>'1. Detailed Budget POA'!#REF!</f>
        <v>#REF!</v>
      </c>
      <c r="C26" s="771" t="s">
        <v>303</v>
      </c>
      <c r="D26" s="771" t="s">
        <v>304</v>
      </c>
      <c r="E26" s="328" t="e">
        <f>'1. Detailed Budget POA'!#REF!</f>
        <v>#REF!</v>
      </c>
      <c r="F26" s="329"/>
      <c r="G26" s="328" t="e">
        <f t="shared" si="1"/>
        <v>#REF!</v>
      </c>
      <c r="H26" s="771">
        <v>1.3</v>
      </c>
      <c r="I26" s="771" t="s">
        <v>305</v>
      </c>
      <c r="J26" s="771" t="s">
        <v>306</v>
      </c>
      <c r="K26" s="3">
        <v>2020</v>
      </c>
      <c r="L26" s="3">
        <v>2021</v>
      </c>
      <c r="M26" s="329"/>
    </row>
    <row r="27" spans="1:13" ht="26.45">
      <c r="A27" s="3">
        <v>10</v>
      </c>
      <c r="B27" s="327" t="e">
        <f>'1. Detailed Budget POA'!#REF!</f>
        <v>#REF!</v>
      </c>
      <c r="C27" s="771" t="s">
        <v>303</v>
      </c>
      <c r="D27" s="771" t="s">
        <v>304</v>
      </c>
      <c r="E27" s="328" t="e">
        <f>'1. Detailed Budget POA'!#REF!</f>
        <v>#REF!</v>
      </c>
      <c r="F27" s="329"/>
      <c r="G27" s="328" t="e">
        <f t="shared" si="1"/>
        <v>#REF!</v>
      </c>
      <c r="H27" s="771">
        <v>1.3</v>
      </c>
      <c r="I27" s="771" t="s">
        <v>305</v>
      </c>
      <c r="J27" s="771" t="s">
        <v>306</v>
      </c>
      <c r="K27" s="3">
        <v>2021</v>
      </c>
      <c r="L27" s="3">
        <v>2022</v>
      </c>
      <c r="M27" s="329"/>
    </row>
    <row r="28" spans="1:13" ht="26.45">
      <c r="A28" s="3">
        <v>11</v>
      </c>
      <c r="B28" s="327" t="e">
        <f>'1. Detailed Budget POA'!#REF!</f>
        <v>#REF!</v>
      </c>
      <c r="C28" s="771" t="s">
        <v>303</v>
      </c>
      <c r="D28" s="771" t="s">
        <v>304</v>
      </c>
      <c r="E28" s="328" t="e">
        <f>'1. Detailed Budget POA'!#REF!</f>
        <v>#REF!</v>
      </c>
      <c r="F28" s="329"/>
      <c r="G28" s="328" t="e">
        <f t="shared" si="1"/>
        <v>#REF!</v>
      </c>
      <c r="H28" s="771">
        <v>1.3</v>
      </c>
      <c r="I28" s="771" t="s">
        <v>305</v>
      </c>
      <c r="J28" s="771" t="s">
        <v>306</v>
      </c>
      <c r="K28" s="3">
        <v>2021</v>
      </c>
      <c r="L28" s="3">
        <v>2022</v>
      </c>
      <c r="M28" s="329"/>
    </row>
    <row r="29" spans="1:13" ht="26.45" hidden="1" outlineLevel="1">
      <c r="A29" s="3"/>
      <c r="B29" s="327" t="e">
        <f>'1. Detailed Budget POA'!#REF!</f>
        <v>#REF!</v>
      </c>
      <c r="C29" s="771" t="s">
        <v>303</v>
      </c>
      <c r="D29" s="771" t="s">
        <v>304</v>
      </c>
      <c r="E29" s="328" t="e">
        <f>'1. Detailed Budget POA'!#REF!</f>
        <v>#REF!</v>
      </c>
      <c r="F29" s="329"/>
      <c r="G29" s="328" t="e">
        <f t="shared" si="1"/>
        <v>#REF!</v>
      </c>
      <c r="H29" s="3"/>
      <c r="I29" s="771" t="s">
        <v>305</v>
      </c>
      <c r="J29" s="771" t="s">
        <v>306</v>
      </c>
      <c r="K29" s="3"/>
      <c r="L29" s="3"/>
      <c r="M29" s="329"/>
    </row>
    <row r="30" spans="1:13" ht="26.45" hidden="1" outlineLevel="1">
      <c r="A30" s="3"/>
      <c r="B30" s="327" t="e">
        <f>'1. Detailed Budget POA'!#REF!</f>
        <v>#REF!</v>
      </c>
      <c r="C30" s="771" t="s">
        <v>303</v>
      </c>
      <c r="D30" s="771" t="s">
        <v>304</v>
      </c>
      <c r="E30" s="328" t="e">
        <f>'1. Detailed Budget POA'!#REF!</f>
        <v>#REF!</v>
      </c>
      <c r="F30" s="329"/>
      <c r="G30" s="328" t="e">
        <f t="shared" si="1"/>
        <v>#REF!</v>
      </c>
      <c r="H30" s="3"/>
      <c r="I30" s="771" t="s">
        <v>305</v>
      </c>
      <c r="J30" s="771" t="s">
        <v>306</v>
      </c>
      <c r="K30" s="3"/>
      <c r="L30" s="3"/>
      <c r="M30" s="329"/>
    </row>
    <row r="31" spans="1:13" ht="26.45" hidden="1" outlineLevel="1">
      <c r="A31" s="3"/>
      <c r="B31" s="327" t="e">
        <f>'1. Detailed Budget POA'!#REF!</f>
        <v>#REF!</v>
      </c>
      <c r="C31" s="771" t="s">
        <v>303</v>
      </c>
      <c r="D31" s="771" t="s">
        <v>304</v>
      </c>
      <c r="E31" s="328" t="e">
        <f>'1. Detailed Budget POA'!#REF!</f>
        <v>#REF!</v>
      </c>
      <c r="F31" s="329"/>
      <c r="G31" s="328" t="e">
        <f t="shared" si="1"/>
        <v>#REF!</v>
      </c>
      <c r="H31" s="3"/>
      <c r="I31" s="771" t="s">
        <v>305</v>
      </c>
      <c r="J31" s="771" t="s">
        <v>306</v>
      </c>
      <c r="K31" s="3"/>
      <c r="L31" s="3"/>
      <c r="M31" s="329"/>
    </row>
    <row r="32" spans="1:13" ht="26.45" hidden="1" outlineLevel="1">
      <c r="A32" s="3"/>
      <c r="B32" s="327">
        <f>'1. Detailed Budget POA'!J37</f>
        <v>0</v>
      </c>
      <c r="C32" s="771" t="s">
        <v>303</v>
      </c>
      <c r="D32" s="771" t="s">
        <v>304</v>
      </c>
      <c r="E32" s="328">
        <f>'1. Detailed Budget POA'!N37</f>
        <v>0</v>
      </c>
      <c r="F32" s="329"/>
      <c r="G32" s="328">
        <f t="shared" si="1"/>
        <v>0</v>
      </c>
      <c r="H32" s="3"/>
      <c r="I32" s="771" t="s">
        <v>305</v>
      </c>
      <c r="J32" s="771" t="s">
        <v>306</v>
      </c>
      <c r="K32" s="3"/>
      <c r="L32" s="3"/>
      <c r="M32" s="329"/>
    </row>
    <row r="33" spans="1:13" ht="26.45" hidden="1" outlineLevel="1">
      <c r="A33" s="3"/>
      <c r="B33" s="327">
        <f>'1. Detailed Budget POA'!J38</f>
        <v>0</v>
      </c>
      <c r="C33" s="771" t="s">
        <v>303</v>
      </c>
      <c r="D33" s="771" t="s">
        <v>304</v>
      </c>
      <c r="E33" s="328">
        <f>'1. Detailed Budget POA'!N38</f>
        <v>0</v>
      </c>
      <c r="F33" s="329"/>
      <c r="G33" s="328">
        <f t="shared" si="1"/>
        <v>0</v>
      </c>
      <c r="H33" s="3"/>
      <c r="I33" s="771" t="s">
        <v>305</v>
      </c>
      <c r="J33" s="771" t="s">
        <v>306</v>
      </c>
      <c r="K33" s="3"/>
      <c r="L33" s="3"/>
      <c r="M33" s="329"/>
    </row>
    <row r="34" spans="1:13" ht="26.45" hidden="1" outlineLevel="1">
      <c r="A34" s="3"/>
      <c r="B34" s="327" t="e">
        <f>'1. Detailed Budget POA'!#REF!</f>
        <v>#REF!</v>
      </c>
      <c r="C34" s="771" t="s">
        <v>303</v>
      </c>
      <c r="D34" s="771" t="s">
        <v>304</v>
      </c>
      <c r="E34" s="328" t="e">
        <f>'1. Detailed Budget POA'!#REF!</f>
        <v>#REF!</v>
      </c>
      <c r="F34" s="329"/>
      <c r="G34" s="328" t="e">
        <f t="shared" si="1"/>
        <v>#REF!</v>
      </c>
      <c r="H34" s="3"/>
      <c r="I34" s="771" t="s">
        <v>305</v>
      </c>
      <c r="J34" s="771" t="s">
        <v>306</v>
      </c>
      <c r="K34" s="3"/>
      <c r="L34" s="3"/>
      <c r="M34" s="329"/>
    </row>
    <row r="35" spans="1:13" ht="26.45" collapsed="1">
      <c r="A35" s="3">
        <v>12</v>
      </c>
      <c r="B35" s="327" t="e">
        <f>'1. Detailed Budget POA'!#REF!</f>
        <v>#REF!</v>
      </c>
      <c r="C35" s="771" t="s">
        <v>303</v>
      </c>
      <c r="D35" s="771" t="s">
        <v>304</v>
      </c>
      <c r="E35" s="328" t="e">
        <f>'1. Detailed Budget POA'!#REF!</f>
        <v>#REF!</v>
      </c>
      <c r="F35" s="329"/>
      <c r="G35" s="328" t="e">
        <f t="shared" si="1"/>
        <v>#REF!</v>
      </c>
      <c r="H35" s="3">
        <v>2.1</v>
      </c>
      <c r="I35" s="771" t="s">
        <v>305</v>
      </c>
      <c r="J35" s="771" t="s">
        <v>306</v>
      </c>
      <c r="K35" s="3">
        <v>2020</v>
      </c>
      <c r="L35" s="3">
        <v>2022</v>
      </c>
      <c r="M35" s="329"/>
    </row>
    <row r="36" spans="1:13" ht="26.45">
      <c r="A36" s="3">
        <v>13</v>
      </c>
      <c r="B36" s="327" t="e">
        <f>'1. Detailed Budget POA'!#REF!</f>
        <v>#REF!</v>
      </c>
      <c r="C36" s="771" t="s">
        <v>303</v>
      </c>
      <c r="D36" s="771" t="s">
        <v>304</v>
      </c>
      <c r="E36" s="328" t="e">
        <f>'1. Detailed Budget POA'!#REF!</f>
        <v>#REF!</v>
      </c>
      <c r="F36" s="329"/>
      <c r="G36" s="328" t="e">
        <f t="shared" si="1"/>
        <v>#REF!</v>
      </c>
      <c r="H36" s="3">
        <v>2.1</v>
      </c>
      <c r="I36" s="771" t="s">
        <v>305</v>
      </c>
      <c r="J36" s="771" t="s">
        <v>306</v>
      </c>
      <c r="K36" s="3">
        <v>2020</v>
      </c>
      <c r="L36" s="3">
        <v>2023</v>
      </c>
      <c r="M36" s="329"/>
    </row>
    <row r="37" spans="1:13" ht="26.45">
      <c r="A37" s="3">
        <v>14</v>
      </c>
      <c r="B37" s="327" t="e">
        <f>'1. Detailed Budget POA'!#REF!</f>
        <v>#REF!</v>
      </c>
      <c r="C37" s="771" t="s">
        <v>303</v>
      </c>
      <c r="D37" s="771" t="s">
        <v>304</v>
      </c>
      <c r="E37" s="328" t="e">
        <f>'1. Detailed Budget POA'!#REF!</f>
        <v>#REF!</v>
      </c>
      <c r="F37" s="329"/>
      <c r="G37" s="328" t="e">
        <f t="shared" si="1"/>
        <v>#REF!</v>
      </c>
      <c r="H37" s="3">
        <v>2.1</v>
      </c>
      <c r="I37" s="771" t="s">
        <v>305</v>
      </c>
      <c r="J37" s="771" t="s">
        <v>306</v>
      </c>
      <c r="K37" s="3">
        <v>2020</v>
      </c>
      <c r="L37" s="3">
        <v>2021</v>
      </c>
      <c r="M37" s="329"/>
    </row>
    <row r="38" spans="1:13" ht="26.45">
      <c r="A38" s="3">
        <v>15</v>
      </c>
      <c r="B38" s="327" t="e">
        <f>'1. Detailed Budget POA'!#REF!</f>
        <v>#REF!</v>
      </c>
      <c r="C38" s="771" t="s">
        <v>303</v>
      </c>
      <c r="D38" s="771" t="s">
        <v>304</v>
      </c>
      <c r="E38" s="328" t="e">
        <f>'1. Detailed Budget POA'!#REF!</f>
        <v>#REF!</v>
      </c>
      <c r="F38" s="329"/>
      <c r="G38" s="328" t="e">
        <f t="shared" si="1"/>
        <v>#REF!</v>
      </c>
      <c r="H38" s="3">
        <v>2.1</v>
      </c>
      <c r="I38" s="771" t="s">
        <v>305</v>
      </c>
      <c r="J38" s="771" t="s">
        <v>306</v>
      </c>
      <c r="K38" s="3">
        <v>2021</v>
      </c>
      <c r="L38" s="3">
        <v>2022</v>
      </c>
      <c r="M38" s="329"/>
    </row>
    <row r="39" spans="1:13" ht="26.45" hidden="1" outlineLevel="1">
      <c r="A39" s="3"/>
      <c r="B39" s="327" t="e">
        <f>'1. Detailed Budget POA'!#REF!</f>
        <v>#REF!</v>
      </c>
      <c r="C39" s="771" t="s">
        <v>303</v>
      </c>
      <c r="D39" s="771" t="s">
        <v>304</v>
      </c>
      <c r="E39" s="328" t="e">
        <f>'1. Detailed Budget POA'!#REF!</f>
        <v>#REF!</v>
      </c>
      <c r="F39" s="329"/>
      <c r="G39" s="328" t="e">
        <f t="shared" si="1"/>
        <v>#REF!</v>
      </c>
      <c r="H39" s="3"/>
      <c r="I39" s="771" t="s">
        <v>305</v>
      </c>
      <c r="J39" s="771" t="s">
        <v>306</v>
      </c>
      <c r="K39" s="3"/>
      <c r="L39" s="3"/>
      <c r="M39" s="329"/>
    </row>
    <row r="40" spans="1:13" ht="26.45" collapsed="1">
      <c r="A40" s="3">
        <v>16</v>
      </c>
      <c r="B40" s="327" t="e">
        <f>'1. Detailed Budget POA'!#REF!</f>
        <v>#REF!</v>
      </c>
      <c r="C40" s="771" t="s">
        <v>303</v>
      </c>
      <c r="D40" s="771" t="s">
        <v>304</v>
      </c>
      <c r="E40" s="328" t="e">
        <f>'1. Detailed Budget POA'!#REF!</f>
        <v>#REF!</v>
      </c>
      <c r="F40" s="329"/>
      <c r="G40" s="328" t="e">
        <f t="shared" si="1"/>
        <v>#REF!</v>
      </c>
      <c r="H40" s="3">
        <v>2.1</v>
      </c>
      <c r="I40" s="771" t="s">
        <v>305</v>
      </c>
      <c r="J40" s="771" t="s">
        <v>306</v>
      </c>
      <c r="K40" s="3">
        <v>2020</v>
      </c>
      <c r="L40" s="3">
        <v>2021</v>
      </c>
      <c r="M40" s="329"/>
    </row>
    <row r="41" spans="1:13" ht="26.45">
      <c r="A41" s="3">
        <v>17</v>
      </c>
      <c r="B41" s="327" t="e">
        <f>'1. Detailed Budget POA'!#REF!</f>
        <v>#REF!</v>
      </c>
      <c r="C41" s="771" t="s">
        <v>303</v>
      </c>
      <c r="D41" s="771" t="s">
        <v>304</v>
      </c>
      <c r="E41" s="328" t="e">
        <f>'1. Detailed Budget POA'!#REF!</f>
        <v>#REF!</v>
      </c>
      <c r="F41" s="329"/>
      <c r="G41" s="328" t="e">
        <f t="shared" si="1"/>
        <v>#REF!</v>
      </c>
      <c r="H41" s="3">
        <v>2.1</v>
      </c>
      <c r="I41" s="771" t="s">
        <v>305</v>
      </c>
      <c r="J41" s="771" t="s">
        <v>306</v>
      </c>
      <c r="K41" s="3">
        <v>2020</v>
      </c>
      <c r="L41" s="3">
        <v>2021</v>
      </c>
      <c r="M41" s="329"/>
    </row>
    <row r="42" spans="1:13" ht="26.45">
      <c r="A42" s="3">
        <v>18</v>
      </c>
      <c r="B42" s="327" t="e">
        <f>'1. Detailed Budget POA'!#REF!</f>
        <v>#REF!</v>
      </c>
      <c r="C42" s="771" t="s">
        <v>303</v>
      </c>
      <c r="D42" s="771" t="s">
        <v>304</v>
      </c>
      <c r="E42" s="328" t="e">
        <f>'1. Detailed Budget POA'!#REF!</f>
        <v>#REF!</v>
      </c>
      <c r="F42" s="329"/>
      <c r="G42" s="328" t="e">
        <f>SUM(E42:F42)</f>
        <v>#REF!</v>
      </c>
      <c r="H42" s="3">
        <v>2.1</v>
      </c>
      <c r="I42" s="771" t="s">
        <v>305</v>
      </c>
      <c r="J42" s="771" t="s">
        <v>306</v>
      </c>
      <c r="K42" s="3">
        <v>2019</v>
      </c>
      <c r="L42" s="3">
        <v>2020</v>
      </c>
      <c r="M42" s="329"/>
    </row>
    <row r="43" spans="1:13" hidden="1" outlineLevel="1">
      <c r="A43" s="3"/>
      <c r="B43" s="327" t="e">
        <f>'1. Detailed Budget POA'!#REF!</f>
        <v>#REF!</v>
      </c>
      <c r="C43" s="771" t="s">
        <v>303</v>
      </c>
      <c r="D43" s="771" t="s">
        <v>304</v>
      </c>
      <c r="E43" s="328" t="e">
        <f>'1. Detailed Budget POA'!#REF!</f>
        <v>#REF!</v>
      </c>
      <c r="F43" s="329"/>
      <c r="G43" s="328" t="e">
        <f>SUM(E43:F43)</f>
        <v>#REF!</v>
      </c>
      <c r="H43" s="3">
        <v>2.1</v>
      </c>
      <c r="I43" s="771"/>
      <c r="J43" s="771"/>
      <c r="K43" s="3"/>
      <c r="L43" s="3"/>
      <c r="M43" s="329"/>
    </row>
    <row r="44" spans="1:13" ht="26.45" hidden="1" outlineLevel="1">
      <c r="A44" s="3"/>
      <c r="B44" s="327" t="e">
        <f>'1. Detailed Budget POA'!#REF!</f>
        <v>#REF!</v>
      </c>
      <c r="C44" s="771" t="s">
        <v>303</v>
      </c>
      <c r="D44" s="771" t="s">
        <v>304</v>
      </c>
      <c r="E44" s="328" t="e">
        <f>'1. Detailed Budget POA'!#REF!</f>
        <v>#REF!</v>
      </c>
      <c r="F44" s="329"/>
      <c r="G44" s="328" t="e">
        <f>SUM(E44:F44)</f>
        <v>#REF!</v>
      </c>
      <c r="H44" s="3">
        <v>2.1</v>
      </c>
      <c r="I44" s="771" t="s">
        <v>305</v>
      </c>
      <c r="J44" s="771" t="s">
        <v>306</v>
      </c>
      <c r="K44" s="3"/>
      <c r="L44" s="3"/>
      <c r="M44" s="329"/>
    </row>
    <row r="45" spans="1:13" ht="66" collapsed="1">
      <c r="A45" s="3">
        <v>19</v>
      </c>
      <c r="B45" s="327" t="str">
        <f>'1. Detailed Budget POA'!J39</f>
        <v>Preparación y puesta en marcha de una estrategia para facilitar el proceso de modernización de la información de forma progresiva referente a la gestión de planillas en los niveles de gobierno contemplados</v>
      </c>
      <c r="C45" s="771" t="s">
        <v>303</v>
      </c>
      <c r="D45" s="771" t="s">
        <v>304</v>
      </c>
      <c r="E45" s="328">
        <f>'1. Detailed Budget POA'!N39</f>
        <v>198000</v>
      </c>
      <c r="F45" s="329"/>
      <c r="G45" s="328">
        <f t="shared" si="1"/>
        <v>198000</v>
      </c>
      <c r="H45" s="3">
        <v>2.2000000000000002</v>
      </c>
      <c r="I45" s="771" t="s">
        <v>305</v>
      </c>
      <c r="J45" s="771" t="s">
        <v>306</v>
      </c>
      <c r="K45" s="3">
        <v>2020</v>
      </c>
      <c r="L45" s="3">
        <v>2020</v>
      </c>
      <c r="M45" s="329"/>
    </row>
    <row r="46" spans="1:13" ht="26.45">
      <c r="A46" s="3">
        <v>20</v>
      </c>
      <c r="B46" s="327">
        <f>'1. Detailed Budget POA'!J40</f>
        <v>0</v>
      </c>
      <c r="C46" s="771" t="s">
        <v>303</v>
      </c>
      <c r="D46" s="771" t="s">
        <v>304</v>
      </c>
      <c r="E46" s="328">
        <f>'1. Detailed Budget POA'!N40</f>
        <v>0</v>
      </c>
      <c r="F46" s="329"/>
      <c r="G46" s="328">
        <f t="shared" si="1"/>
        <v>0</v>
      </c>
      <c r="H46" s="3">
        <v>2.2000000000000002</v>
      </c>
      <c r="I46" s="771" t="s">
        <v>305</v>
      </c>
      <c r="J46" s="771" t="s">
        <v>306</v>
      </c>
      <c r="K46" s="3">
        <v>2020</v>
      </c>
      <c r="L46" s="3">
        <v>2020</v>
      </c>
      <c r="M46" s="329"/>
    </row>
    <row r="47" spans="1:13" ht="26.45">
      <c r="A47" s="3">
        <v>21</v>
      </c>
      <c r="B47" s="327">
        <f>'1. Detailed Budget POA'!J41</f>
        <v>0</v>
      </c>
      <c r="C47" s="771" t="s">
        <v>303</v>
      </c>
      <c r="D47" s="771" t="s">
        <v>304</v>
      </c>
      <c r="E47" s="328">
        <f>'1. Detailed Budget POA'!N41</f>
        <v>0</v>
      </c>
      <c r="F47" s="329"/>
      <c r="G47" s="328">
        <f>SUM(E47:F47)</f>
        <v>0</v>
      </c>
      <c r="H47" s="3">
        <v>2.2000000000000002</v>
      </c>
      <c r="I47" s="771" t="s">
        <v>305</v>
      </c>
      <c r="J47" s="771" t="s">
        <v>306</v>
      </c>
      <c r="K47" s="3">
        <v>2020</v>
      </c>
      <c r="L47" s="3">
        <v>2021</v>
      </c>
      <c r="M47" s="329"/>
    </row>
    <row r="48" spans="1:13" ht="26.45">
      <c r="A48" s="3">
        <v>22</v>
      </c>
      <c r="B48" s="327">
        <f>'1. Detailed Budget POA'!J42</f>
        <v>0</v>
      </c>
      <c r="C48" s="771" t="s">
        <v>303</v>
      </c>
      <c r="D48" s="771" t="s">
        <v>304</v>
      </c>
      <c r="E48" s="328">
        <f>'1. Detailed Budget POA'!N42</f>
        <v>0</v>
      </c>
      <c r="F48" s="329"/>
      <c r="G48" s="328">
        <f t="shared" si="1"/>
        <v>0</v>
      </c>
      <c r="H48" s="3">
        <v>2.2000000000000002</v>
      </c>
      <c r="I48" s="771" t="s">
        <v>305</v>
      </c>
      <c r="J48" s="771" t="s">
        <v>306</v>
      </c>
      <c r="K48" s="3">
        <v>2020</v>
      </c>
      <c r="L48" s="3">
        <v>2021</v>
      </c>
      <c r="M48" s="329"/>
    </row>
    <row r="49" spans="1:13" ht="26.45" hidden="1" outlineLevel="1">
      <c r="A49" s="3">
        <v>29</v>
      </c>
      <c r="B49" s="327">
        <f>'1. Detailed Budget POA'!J43</f>
        <v>0</v>
      </c>
      <c r="C49" s="771" t="s">
        <v>303</v>
      </c>
      <c r="D49" s="771" t="s">
        <v>304</v>
      </c>
      <c r="E49" s="328">
        <f>'1. Detailed Budget POA'!N43</f>
        <v>0</v>
      </c>
      <c r="F49" s="329"/>
      <c r="G49" s="328">
        <f t="shared" si="1"/>
        <v>0</v>
      </c>
      <c r="H49" s="3">
        <v>2.2000000000000002</v>
      </c>
      <c r="I49" s="771" t="s">
        <v>305</v>
      </c>
      <c r="J49" s="771" t="s">
        <v>306</v>
      </c>
      <c r="K49" s="3">
        <v>2021</v>
      </c>
      <c r="L49" s="3">
        <v>2022</v>
      </c>
      <c r="M49" s="329"/>
    </row>
    <row r="50" spans="1:13" ht="26.45" hidden="1" outlineLevel="1">
      <c r="A50" s="3"/>
      <c r="B50" s="327">
        <f>'1. Detailed Budget POA'!J44</f>
        <v>0</v>
      </c>
      <c r="C50" s="771" t="s">
        <v>303</v>
      </c>
      <c r="D50" s="771" t="s">
        <v>304</v>
      </c>
      <c r="E50" s="328">
        <f>'1. Detailed Budget POA'!N44</f>
        <v>0</v>
      </c>
      <c r="F50" s="329"/>
      <c r="G50" s="328">
        <f t="shared" si="1"/>
        <v>0</v>
      </c>
      <c r="H50" s="3">
        <v>2.2000000000000002</v>
      </c>
      <c r="I50" s="771" t="s">
        <v>305</v>
      </c>
      <c r="J50" s="771" t="s">
        <v>306</v>
      </c>
      <c r="K50" s="3"/>
      <c r="L50" s="3"/>
      <c r="M50" s="329"/>
    </row>
    <row r="51" spans="1:13" ht="26.45" collapsed="1">
      <c r="A51" s="3">
        <v>23</v>
      </c>
      <c r="B51" s="327" t="e">
        <f>'1. Detailed Budget POA'!#REF!</f>
        <v>#REF!</v>
      </c>
      <c r="C51" s="771" t="s">
        <v>303</v>
      </c>
      <c r="D51" s="771" t="s">
        <v>304</v>
      </c>
      <c r="E51" s="328" t="e">
        <f>'1. Detailed Budget POA'!#REF!</f>
        <v>#REF!</v>
      </c>
      <c r="F51" s="329"/>
      <c r="G51" s="328" t="e">
        <f t="shared" si="1"/>
        <v>#REF!</v>
      </c>
      <c r="H51" s="3">
        <v>2.2000000000000002</v>
      </c>
      <c r="I51" s="771" t="s">
        <v>305</v>
      </c>
      <c r="J51" s="771" t="s">
        <v>306</v>
      </c>
      <c r="K51" s="3">
        <v>2022</v>
      </c>
      <c r="L51" s="3">
        <v>2022</v>
      </c>
      <c r="M51" s="329"/>
    </row>
    <row r="52" spans="1:13" ht="26.45" hidden="1" outlineLevel="1">
      <c r="A52" s="3"/>
      <c r="B52" s="327" t="e">
        <f>'1. Detailed Budget POA'!#REF!</f>
        <v>#REF!</v>
      </c>
      <c r="C52" s="771" t="s">
        <v>303</v>
      </c>
      <c r="D52" s="771" t="s">
        <v>304</v>
      </c>
      <c r="E52" s="328" t="e">
        <f>'1. Detailed Budget POA'!#REF!</f>
        <v>#REF!</v>
      </c>
      <c r="F52" s="329"/>
      <c r="G52" s="328" t="e">
        <f t="shared" si="1"/>
        <v>#REF!</v>
      </c>
      <c r="H52" s="3">
        <v>2.2000000000000002</v>
      </c>
      <c r="I52" s="771" t="s">
        <v>305</v>
      </c>
      <c r="J52" s="771" t="s">
        <v>306</v>
      </c>
      <c r="K52" s="3">
        <v>2022</v>
      </c>
      <c r="L52" s="3">
        <v>2022</v>
      </c>
      <c r="M52" s="329"/>
    </row>
    <row r="53" spans="1:13" ht="26.45" hidden="1" outlineLevel="1">
      <c r="A53" s="3"/>
      <c r="B53" s="327" t="e">
        <f>'1. Detailed Budget POA'!#REF!</f>
        <v>#REF!</v>
      </c>
      <c r="C53" s="771" t="s">
        <v>303</v>
      </c>
      <c r="D53" s="771" t="s">
        <v>304</v>
      </c>
      <c r="E53" s="328" t="e">
        <f>'1. Detailed Budget POA'!#REF!</f>
        <v>#REF!</v>
      </c>
      <c r="F53" s="329"/>
      <c r="G53" s="328" t="e">
        <f t="shared" si="1"/>
        <v>#REF!</v>
      </c>
      <c r="H53" s="3">
        <v>2.2000000000000002</v>
      </c>
      <c r="I53" s="771" t="s">
        <v>305</v>
      </c>
      <c r="J53" s="771" t="s">
        <v>306</v>
      </c>
      <c r="K53" s="3">
        <v>2022</v>
      </c>
      <c r="L53" s="3">
        <v>2022</v>
      </c>
      <c r="M53" s="329"/>
    </row>
    <row r="54" spans="1:13" ht="26.45" hidden="1" outlineLevel="1">
      <c r="A54" s="3"/>
      <c r="B54" s="327" t="e">
        <f>'1. Detailed Budget POA'!#REF!</f>
        <v>#REF!</v>
      </c>
      <c r="C54" s="771" t="s">
        <v>303</v>
      </c>
      <c r="D54" s="771" t="s">
        <v>304</v>
      </c>
      <c r="E54" s="328" t="e">
        <f>'1. Detailed Budget POA'!#REF!</f>
        <v>#REF!</v>
      </c>
      <c r="F54" s="329"/>
      <c r="G54" s="328" t="e">
        <f t="shared" si="1"/>
        <v>#REF!</v>
      </c>
      <c r="H54" s="3">
        <v>2.2000000000000002</v>
      </c>
      <c r="I54" s="771" t="s">
        <v>305</v>
      </c>
      <c r="J54" s="771" t="s">
        <v>306</v>
      </c>
      <c r="K54" s="3">
        <v>2022</v>
      </c>
      <c r="L54" s="3">
        <v>2022</v>
      </c>
      <c r="M54" s="329"/>
    </row>
    <row r="55" spans="1:13" ht="26.45" hidden="1" outlineLevel="1">
      <c r="A55" s="3"/>
      <c r="B55" s="327" t="e">
        <f>'1. Detailed Budget POA'!#REF!</f>
        <v>#REF!</v>
      </c>
      <c r="C55" s="771" t="s">
        <v>303</v>
      </c>
      <c r="D55" s="771" t="s">
        <v>304</v>
      </c>
      <c r="E55" s="328" t="e">
        <f>'1. Detailed Budget POA'!#REF!</f>
        <v>#REF!</v>
      </c>
      <c r="F55" s="329"/>
      <c r="G55" s="328" t="e">
        <f t="shared" si="1"/>
        <v>#REF!</v>
      </c>
      <c r="H55" s="3">
        <v>2.2000000000000002</v>
      </c>
      <c r="I55" s="771" t="s">
        <v>305</v>
      </c>
      <c r="J55" s="771" t="s">
        <v>306</v>
      </c>
      <c r="K55" s="3">
        <v>2022</v>
      </c>
      <c r="L55" s="3">
        <v>2022</v>
      </c>
      <c r="M55" s="329"/>
    </row>
    <row r="56" spans="1:13" ht="26.45" hidden="1" outlineLevel="1">
      <c r="A56" s="3"/>
      <c r="B56" s="327" t="e">
        <f>'1. Detailed Budget POA'!#REF!</f>
        <v>#REF!</v>
      </c>
      <c r="C56" s="771" t="s">
        <v>303</v>
      </c>
      <c r="D56" s="771" t="s">
        <v>304</v>
      </c>
      <c r="E56" s="328" t="e">
        <f>'1. Detailed Budget POA'!#REF!</f>
        <v>#REF!</v>
      </c>
      <c r="F56" s="329"/>
      <c r="G56" s="328" t="e">
        <f t="shared" si="1"/>
        <v>#REF!</v>
      </c>
      <c r="H56" s="3">
        <v>2.2000000000000002</v>
      </c>
      <c r="I56" s="771" t="s">
        <v>305</v>
      </c>
      <c r="J56" s="771" t="s">
        <v>306</v>
      </c>
      <c r="K56" s="3">
        <v>2022</v>
      </c>
      <c r="L56" s="3">
        <v>2022</v>
      </c>
      <c r="M56" s="329"/>
    </row>
    <row r="57" spans="1:13" ht="26.45" hidden="1" outlineLevel="1">
      <c r="A57" s="3"/>
      <c r="B57" s="327" t="e">
        <f>'1. Detailed Budget POA'!#REF!</f>
        <v>#REF!</v>
      </c>
      <c r="C57" s="771" t="s">
        <v>303</v>
      </c>
      <c r="D57" s="771" t="s">
        <v>304</v>
      </c>
      <c r="E57" s="328" t="e">
        <f>'1. Detailed Budget POA'!#REF!</f>
        <v>#REF!</v>
      </c>
      <c r="F57" s="329"/>
      <c r="G57" s="328" t="e">
        <f t="shared" si="1"/>
        <v>#REF!</v>
      </c>
      <c r="H57" s="3">
        <v>2.2000000000000002</v>
      </c>
      <c r="I57" s="771" t="s">
        <v>305</v>
      </c>
      <c r="J57" s="771" t="s">
        <v>306</v>
      </c>
      <c r="K57" s="3">
        <v>2022</v>
      </c>
      <c r="L57" s="3">
        <v>2022</v>
      </c>
      <c r="M57" s="329"/>
    </row>
    <row r="58" spans="1:13" ht="26.45" hidden="1" outlineLevel="1">
      <c r="A58" s="3"/>
      <c r="B58" s="327" t="e">
        <f>'1. Detailed Budget POA'!#REF!</f>
        <v>#REF!</v>
      </c>
      <c r="C58" s="771" t="s">
        <v>303</v>
      </c>
      <c r="D58" s="771" t="s">
        <v>304</v>
      </c>
      <c r="E58" s="328" t="e">
        <f>'1. Detailed Budget POA'!#REF!</f>
        <v>#REF!</v>
      </c>
      <c r="F58" s="329"/>
      <c r="G58" s="328" t="e">
        <f t="shared" si="1"/>
        <v>#REF!</v>
      </c>
      <c r="H58" s="3">
        <v>2.2000000000000002</v>
      </c>
      <c r="I58" s="771" t="s">
        <v>305</v>
      </c>
      <c r="J58" s="771" t="s">
        <v>306</v>
      </c>
      <c r="K58" s="3">
        <v>2022</v>
      </c>
      <c r="L58" s="3">
        <v>2022</v>
      </c>
      <c r="M58" s="329"/>
    </row>
    <row r="59" spans="1:13" ht="26.45" hidden="1" outlineLevel="1">
      <c r="A59" s="3"/>
      <c r="B59" s="327" t="e">
        <f>'1. Detailed Budget POA'!#REF!</f>
        <v>#REF!</v>
      </c>
      <c r="C59" s="771" t="s">
        <v>303</v>
      </c>
      <c r="D59" s="771" t="s">
        <v>304</v>
      </c>
      <c r="E59" s="328" t="e">
        <f>'1. Detailed Budget POA'!#REF!</f>
        <v>#REF!</v>
      </c>
      <c r="F59" s="329"/>
      <c r="G59" s="328" t="e">
        <f t="shared" si="1"/>
        <v>#REF!</v>
      </c>
      <c r="H59" s="3">
        <v>2.2000000000000002</v>
      </c>
      <c r="I59" s="771" t="s">
        <v>305</v>
      </c>
      <c r="J59" s="771" t="s">
        <v>306</v>
      </c>
      <c r="K59" s="3">
        <v>2022</v>
      </c>
      <c r="L59" s="3">
        <v>2022</v>
      </c>
      <c r="M59" s="329"/>
    </row>
    <row r="60" spans="1:13" ht="26.45" hidden="1" outlineLevel="1">
      <c r="A60" s="3"/>
      <c r="B60" s="327" t="e">
        <f>'1. Detailed Budget POA'!#REF!</f>
        <v>#REF!</v>
      </c>
      <c r="C60" s="771" t="s">
        <v>303</v>
      </c>
      <c r="D60" s="771" t="s">
        <v>304</v>
      </c>
      <c r="E60" s="328" t="e">
        <f>'1. Detailed Budget POA'!#REF!</f>
        <v>#REF!</v>
      </c>
      <c r="F60" s="329"/>
      <c r="G60" s="328" t="e">
        <f t="shared" si="1"/>
        <v>#REF!</v>
      </c>
      <c r="H60" s="3">
        <v>2.2000000000000002</v>
      </c>
      <c r="I60" s="771" t="s">
        <v>305</v>
      </c>
      <c r="J60" s="771" t="s">
        <v>306</v>
      </c>
      <c r="K60" s="3">
        <v>2022</v>
      </c>
      <c r="L60" s="3">
        <v>2022</v>
      </c>
      <c r="M60" s="329"/>
    </row>
    <row r="61" spans="1:13" ht="26.45" collapsed="1">
      <c r="A61" s="3">
        <v>24</v>
      </c>
      <c r="B61" s="327" t="e">
        <f>'1. Detailed Budget POA'!#REF!</f>
        <v>#REF!</v>
      </c>
      <c r="C61" s="771" t="s">
        <v>303</v>
      </c>
      <c r="D61" s="771" t="s">
        <v>304</v>
      </c>
      <c r="E61" s="328" t="e">
        <f>'1. Detailed Budget POA'!#REF!</f>
        <v>#REF!</v>
      </c>
      <c r="F61" s="329"/>
      <c r="G61" s="328" t="e">
        <f t="shared" si="1"/>
        <v>#REF!</v>
      </c>
      <c r="H61" s="3">
        <v>2.2000000000000002</v>
      </c>
      <c r="I61" s="771" t="s">
        <v>305</v>
      </c>
      <c r="J61" s="771" t="s">
        <v>306</v>
      </c>
      <c r="K61" s="3">
        <v>2022</v>
      </c>
      <c r="L61" s="3">
        <v>2022</v>
      </c>
      <c r="M61" s="329"/>
    </row>
    <row r="62" spans="1:13" ht="26.45">
      <c r="A62" s="3">
        <v>25</v>
      </c>
      <c r="B62" s="327" t="e">
        <f>'1. Detailed Budget POA'!#REF!</f>
        <v>#REF!</v>
      </c>
      <c r="C62" s="771" t="s">
        <v>303</v>
      </c>
      <c r="D62" s="771" t="s">
        <v>304</v>
      </c>
      <c r="E62" s="328" t="e">
        <f>'1. Detailed Budget POA'!#REF!</f>
        <v>#REF!</v>
      </c>
      <c r="F62" s="329"/>
      <c r="G62" s="328" t="e">
        <f t="shared" si="1"/>
        <v>#REF!</v>
      </c>
      <c r="H62" s="3">
        <v>2.2000000000000002</v>
      </c>
      <c r="I62" s="771" t="s">
        <v>305</v>
      </c>
      <c r="J62" s="771" t="s">
        <v>306</v>
      </c>
      <c r="K62" s="3"/>
      <c r="L62" s="3"/>
      <c r="M62" s="329"/>
    </row>
    <row r="63" spans="1:13" ht="26.45" hidden="1" outlineLevel="1">
      <c r="A63" s="3"/>
      <c r="B63" s="327" t="e">
        <f>'1. Detailed Budget POA'!#REF!</f>
        <v>#REF!</v>
      </c>
      <c r="C63" s="771" t="s">
        <v>303</v>
      </c>
      <c r="D63" s="771" t="s">
        <v>304</v>
      </c>
      <c r="E63" s="328" t="e">
        <f>'1. Detailed Budget POA'!#REF!</f>
        <v>#REF!</v>
      </c>
      <c r="F63" s="329"/>
      <c r="G63" s="328" t="e">
        <f t="shared" si="1"/>
        <v>#REF!</v>
      </c>
      <c r="H63" s="3">
        <v>2.2000000000000002</v>
      </c>
      <c r="I63" s="771" t="s">
        <v>305</v>
      </c>
      <c r="J63" s="771" t="s">
        <v>306</v>
      </c>
      <c r="K63" s="3"/>
      <c r="L63" s="3"/>
      <c r="M63" s="329"/>
    </row>
    <row r="64" spans="1:13" ht="26.45" hidden="1" outlineLevel="1">
      <c r="A64" s="3"/>
      <c r="B64" s="327" t="e">
        <f>'1. Detailed Budget POA'!#REF!</f>
        <v>#REF!</v>
      </c>
      <c r="C64" s="771" t="s">
        <v>303</v>
      </c>
      <c r="D64" s="771" t="s">
        <v>304</v>
      </c>
      <c r="E64" s="328" t="e">
        <f>'1. Detailed Budget POA'!#REF!</f>
        <v>#REF!</v>
      </c>
      <c r="F64" s="329"/>
      <c r="G64" s="328" t="e">
        <f t="shared" si="1"/>
        <v>#REF!</v>
      </c>
      <c r="H64" s="3">
        <v>2.2000000000000002</v>
      </c>
      <c r="I64" s="771" t="s">
        <v>305</v>
      </c>
      <c r="J64" s="771" t="s">
        <v>306</v>
      </c>
      <c r="K64" s="3"/>
      <c r="L64" s="3"/>
      <c r="M64" s="329"/>
    </row>
    <row r="65" spans="1:13" ht="26.45" hidden="1" outlineLevel="1">
      <c r="A65" s="3"/>
      <c r="B65" s="327" t="e">
        <f>'1. Detailed Budget POA'!#REF!</f>
        <v>#REF!</v>
      </c>
      <c r="C65" s="771" t="s">
        <v>303</v>
      </c>
      <c r="D65" s="771" t="s">
        <v>304</v>
      </c>
      <c r="E65" s="328" t="e">
        <f>'1. Detailed Budget POA'!#REF!</f>
        <v>#REF!</v>
      </c>
      <c r="F65" s="329"/>
      <c r="G65" s="328" t="e">
        <f t="shared" si="1"/>
        <v>#REF!</v>
      </c>
      <c r="H65" s="3">
        <v>2.2000000000000002</v>
      </c>
      <c r="I65" s="771" t="s">
        <v>305</v>
      </c>
      <c r="J65" s="771" t="s">
        <v>306</v>
      </c>
      <c r="K65" s="3"/>
      <c r="L65" s="3"/>
      <c r="M65" s="329"/>
    </row>
    <row r="66" spans="1:13" ht="26.45" hidden="1" outlineLevel="1">
      <c r="A66" s="3"/>
      <c r="B66" s="327" t="e">
        <f>'1. Detailed Budget POA'!#REF!</f>
        <v>#REF!</v>
      </c>
      <c r="C66" s="771" t="s">
        <v>303</v>
      </c>
      <c r="D66" s="771" t="s">
        <v>304</v>
      </c>
      <c r="E66" s="328" t="e">
        <f>'1. Detailed Budget POA'!#REF!</f>
        <v>#REF!</v>
      </c>
      <c r="F66" s="329"/>
      <c r="G66" s="328" t="e">
        <f t="shared" si="1"/>
        <v>#REF!</v>
      </c>
      <c r="H66" s="3">
        <v>2.2000000000000002</v>
      </c>
      <c r="I66" s="771" t="s">
        <v>305</v>
      </c>
      <c r="J66" s="771" t="s">
        <v>306</v>
      </c>
      <c r="K66" s="3"/>
      <c r="L66" s="3"/>
      <c r="M66" s="329"/>
    </row>
    <row r="67" spans="1:13" ht="26.45" hidden="1" outlineLevel="1">
      <c r="A67" s="3"/>
      <c r="B67" s="327" t="e">
        <f>'1. Detailed Budget POA'!#REF!</f>
        <v>#REF!</v>
      </c>
      <c r="C67" s="771" t="s">
        <v>303</v>
      </c>
      <c r="D67" s="771" t="s">
        <v>304</v>
      </c>
      <c r="E67" s="328" t="e">
        <f>'1. Detailed Budget POA'!#REF!</f>
        <v>#REF!</v>
      </c>
      <c r="F67" s="329"/>
      <c r="G67" s="328" t="e">
        <f t="shared" si="1"/>
        <v>#REF!</v>
      </c>
      <c r="H67" s="3">
        <v>2.2000000000000002</v>
      </c>
      <c r="I67" s="771" t="s">
        <v>305</v>
      </c>
      <c r="J67" s="771" t="s">
        <v>306</v>
      </c>
      <c r="K67" s="3"/>
      <c r="L67" s="3"/>
      <c r="M67" s="329"/>
    </row>
    <row r="68" spans="1:13" ht="26.45" hidden="1" outlineLevel="1">
      <c r="A68" s="3"/>
      <c r="B68" s="327" t="e">
        <f>'1. Detailed Budget POA'!#REF!</f>
        <v>#REF!</v>
      </c>
      <c r="C68" s="771" t="s">
        <v>303</v>
      </c>
      <c r="D68" s="771" t="s">
        <v>304</v>
      </c>
      <c r="E68" s="328" t="e">
        <f>'1. Detailed Budget POA'!#REF!</f>
        <v>#REF!</v>
      </c>
      <c r="F68" s="329"/>
      <c r="G68" s="328" t="e">
        <f t="shared" si="1"/>
        <v>#REF!</v>
      </c>
      <c r="H68" s="3">
        <v>2.2000000000000002</v>
      </c>
      <c r="I68" s="771" t="s">
        <v>305</v>
      </c>
      <c r="J68" s="771" t="s">
        <v>306</v>
      </c>
      <c r="K68" s="3"/>
      <c r="L68" s="3"/>
      <c r="M68" s="329"/>
    </row>
    <row r="69" spans="1:13" ht="26.45" hidden="1" outlineLevel="1">
      <c r="A69" s="3"/>
      <c r="B69" s="327" t="e">
        <f>'1. Detailed Budget POA'!#REF!</f>
        <v>#REF!</v>
      </c>
      <c r="C69" s="771" t="s">
        <v>303</v>
      </c>
      <c r="D69" s="771" t="s">
        <v>304</v>
      </c>
      <c r="E69" s="328" t="e">
        <f>'1. Detailed Budget POA'!#REF!</f>
        <v>#REF!</v>
      </c>
      <c r="F69" s="329"/>
      <c r="G69" s="328" t="e">
        <f t="shared" si="1"/>
        <v>#REF!</v>
      </c>
      <c r="H69" s="3">
        <v>2.2000000000000002</v>
      </c>
      <c r="I69" s="771" t="s">
        <v>305</v>
      </c>
      <c r="J69" s="771" t="s">
        <v>306</v>
      </c>
      <c r="K69" s="3"/>
      <c r="L69" s="3"/>
      <c r="M69" s="329"/>
    </row>
    <row r="70" spans="1:13" ht="26.45" hidden="1" outlineLevel="1">
      <c r="A70" s="3"/>
      <c r="B70" s="327" t="e">
        <f>'1. Detailed Budget POA'!#REF!</f>
        <v>#REF!</v>
      </c>
      <c r="C70" s="771" t="s">
        <v>303</v>
      </c>
      <c r="D70" s="771" t="s">
        <v>304</v>
      </c>
      <c r="E70" s="328" t="e">
        <f>'1. Detailed Budget POA'!#REF!</f>
        <v>#REF!</v>
      </c>
      <c r="F70" s="329"/>
      <c r="G70" s="328" t="e">
        <f t="shared" si="1"/>
        <v>#REF!</v>
      </c>
      <c r="H70" s="3">
        <v>2.2000000000000002</v>
      </c>
      <c r="I70" s="771" t="s">
        <v>305</v>
      </c>
      <c r="J70" s="771" t="s">
        <v>306</v>
      </c>
      <c r="K70" s="3"/>
      <c r="L70" s="3"/>
      <c r="M70" s="329"/>
    </row>
    <row r="71" spans="1:13" ht="26.45" collapsed="1">
      <c r="A71" s="3">
        <v>26</v>
      </c>
      <c r="B71" s="327" t="e">
        <f>'1. Detailed Budget POA'!#REF!</f>
        <v>#REF!</v>
      </c>
      <c r="C71" s="771" t="s">
        <v>303</v>
      </c>
      <c r="D71" s="771" t="s">
        <v>304</v>
      </c>
      <c r="E71" s="328" t="e">
        <f>'1. Detailed Budget POA'!#REF!</f>
        <v>#REF!</v>
      </c>
      <c r="F71" s="329"/>
      <c r="G71" s="328" t="e">
        <f t="shared" ref="G71:G113" si="2">SUM(E71:F71)</f>
        <v>#REF!</v>
      </c>
      <c r="H71" s="3">
        <v>2.2000000000000002</v>
      </c>
      <c r="I71" s="771" t="s">
        <v>305</v>
      </c>
      <c r="J71" s="771" t="s">
        <v>306</v>
      </c>
      <c r="K71" s="3">
        <v>2021</v>
      </c>
      <c r="L71" s="3">
        <v>2022</v>
      </c>
      <c r="M71" s="329"/>
    </row>
    <row r="72" spans="1:13" ht="26.45">
      <c r="A72" s="3">
        <v>27</v>
      </c>
      <c r="B72" s="327" t="e">
        <f>'1. Detailed Budget POA'!#REF!</f>
        <v>#REF!</v>
      </c>
      <c r="C72" s="771" t="s">
        <v>303</v>
      </c>
      <c r="D72" s="771" t="s">
        <v>304</v>
      </c>
      <c r="E72" s="328" t="e">
        <f>'1. Detailed Budget POA'!#REF!</f>
        <v>#REF!</v>
      </c>
      <c r="F72" s="329"/>
      <c r="G72" s="328" t="e">
        <f t="shared" si="2"/>
        <v>#REF!</v>
      </c>
      <c r="H72" s="3">
        <v>2.2000000000000002</v>
      </c>
      <c r="I72" s="771" t="s">
        <v>305</v>
      </c>
      <c r="J72" s="771" t="s">
        <v>306</v>
      </c>
      <c r="K72" s="3"/>
      <c r="L72" s="3"/>
      <c r="M72" s="329"/>
    </row>
    <row r="73" spans="1:13" ht="26.45">
      <c r="A73" s="3">
        <v>28</v>
      </c>
      <c r="B73" s="327" t="e">
        <f>'1. Detailed Budget POA'!#REF!</f>
        <v>#REF!</v>
      </c>
      <c r="C73" s="771" t="s">
        <v>303</v>
      </c>
      <c r="D73" s="771" t="s">
        <v>304</v>
      </c>
      <c r="E73" s="328" t="e">
        <f>'1. Detailed Budget POA'!#REF!</f>
        <v>#REF!</v>
      </c>
      <c r="F73" s="329"/>
      <c r="G73" s="328" t="e">
        <f t="shared" si="2"/>
        <v>#REF!</v>
      </c>
      <c r="H73" s="3">
        <v>2.2000000000000002</v>
      </c>
      <c r="I73" s="771" t="s">
        <v>305</v>
      </c>
      <c r="J73" s="771" t="s">
        <v>306</v>
      </c>
      <c r="K73" s="3"/>
      <c r="L73" s="3"/>
      <c r="M73" s="329"/>
    </row>
    <row r="74" spans="1:13" ht="26.45" hidden="1" outlineLevel="1">
      <c r="A74" s="3"/>
      <c r="B74" s="327" t="e">
        <f>'1. Detailed Budget POA'!#REF!</f>
        <v>#REF!</v>
      </c>
      <c r="C74" s="771" t="s">
        <v>303</v>
      </c>
      <c r="D74" s="771" t="s">
        <v>304</v>
      </c>
      <c r="E74" s="328" t="e">
        <f>'1. Detailed Budget POA'!#REF!</f>
        <v>#REF!</v>
      </c>
      <c r="F74" s="329"/>
      <c r="G74" s="328" t="e">
        <f t="shared" si="2"/>
        <v>#REF!</v>
      </c>
      <c r="H74" s="3">
        <v>2.2000000000000002</v>
      </c>
      <c r="I74" s="771" t="s">
        <v>305</v>
      </c>
      <c r="J74" s="771" t="s">
        <v>306</v>
      </c>
      <c r="K74" s="3"/>
      <c r="L74" s="3"/>
      <c r="M74" s="329"/>
    </row>
    <row r="75" spans="1:13" ht="26.45" collapsed="1">
      <c r="A75" s="3">
        <v>29</v>
      </c>
      <c r="B75" s="327" t="e">
        <f>'1. Detailed Budget POA'!#REF!</f>
        <v>#REF!</v>
      </c>
      <c r="C75" s="771" t="s">
        <v>303</v>
      </c>
      <c r="D75" s="771" t="s">
        <v>304</v>
      </c>
      <c r="E75" s="328" t="e">
        <f>'1. Detailed Budget POA'!#REF!</f>
        <v>#REF!</v>
      </c>
      <c r="F75" s="329"/>
      <c r="G75" s="328" t="e">
        <f t="shared" si="2"/>
        <v>#REF!</v>
      </c>
      <c r="H75" s="3">
        <v>2.2000000000000002</v>
      </c>
      <c r="I75" s="771" t="s">
        <v>305</v>
      </c>
      <c r="J75" s="771" t="s">
        <v>306</v>
      </c>
      <c r="K75" s="3">
        <v>2019</v>
      </c>
      <c r="L75" s="3">
        <v>2020</v>
      </c>
      <c r="M75" s="329"/>
    </row>
    <row r="76" spans="1:13" ht="26.45" hidden="1" outlineLevel="1">
      <c r="A76" s="3"/>
      <c r="B76" s="327" t="e">
        <f>'1. Detailed Budget POA'!#REF!</f>
        <v>#REF!</v>
      </c>
      <c r="C76" s="771" t="s">
        <v>303</v>
      </c>
      <c r="D76" s="771" t="s">
        <v>304</v>
      </c>
      <c r="E76" s="328" t="e">
        <f>'1. Detailed Budget POA'!#REF!</f>
        <v>#REF!</v>
      </c>
      <c r="F76" s="329"/>
      <c r="G76" s="328" t="e">
        <f t="shared" si="2"/>
        <v>#REF!</v>
      </c>
      <c r="H76" s="3"/>
      <c r="I76" s="771" t="s">
        <v>305</v>
      </c>
      <c r="J76" s="771" t="s">
        <v>306</v>
      </c>
      <c r="K76" s="3"/>
      <c r="L76" s="3"/>
      <c r="M76" s="329"/>
    </row>
    <row r="77" spans="1:13" ht="26.45" hidden="1" outlineLevel="1">
      <c r="A77" s="3"/>
      <c r="B77" s="327" t="e">
        <f>'1. Detailed Budget POA'!#REF!</f>
        <v>#REF!</v>
      </c>
      <c r="C77" s="771" t="s">
        <v>303</v>
      </c>
      <c r="D77" s="771" t="s">
        <v>304</v>
      </c>
      <c r="E77" s="328" t="e">
        <f>'1. Detailed Budget POA'!#REF!</f>
        <v>#REF!</v>
      </c>
      <c r="F77" s="329"/>
      <c r="G77" s="328" t="e">
        <f t="shared" si="2"/>
        <v>#REF!</v>
      </c>
      <c r="H77" s="3"/>
      <c r="I77" s="771" t="s">
        <v>305</v>
      </c>
      <c r="J77" s="771" t="s">
        <v>306</v>
      </c>
      <c r="K77" s="3"/>
      <c r="L77" s="3"/>
      <c r="M77" s="329"/>
    </row>
    <row r="78" spans="1:13" ht="26.45" hidden="1" outlineLevel="1">
      <c r="A78" s="3"/>
      <c r="B78" s="327" t="e">
        <f>'1. Detailed Budget POA'!#REF!</f>
        <v>#REF!</v>
      </c>
      <c r="C78" s="771" t="s">
        <v>303</v>
      </c>
      <c r="D78" s="771" t="s">
        <v>304</v>
      </c>
      <c r="E78" s="328" t="e">
        <f>'1. Detailed Budget POA'!#REF!</f>
        <v>#REF!</v>
      </c>
      <c r="F78" s="329"/>
      <c r="G78" s="328" t="e">
        <f t="shared" si="2"/>
        <v>#REF!</v>
      </c>
      <c r="H78" s="3"/>
      <c r="I78" s="771" t="s">
        <v>305</v>
      </c>
      <c r="J78" s="771" t="s">
        <v>306</v>
      </c>
      <c r="K78" s="3"/>
      <c r="L78" s="3"/>
      <c r="M78" s="329"/>
    </row>
    <row r="79" spans="1:13" ht="26.45" hidden="1" outlineLevel="1">
      <c r="A79" s="3"/>
      <c r="B79" s="327" t="e">
        <f>'1. Detailed Budget POA'!#REF!</f>
        <v>#REF!</v>
      </c>
      <c r="C79" s="771" t="s">
        <v>303</v>
      </c>
      <c r="D79" s="771" t="s">
        <v>304</v>
      </c>
      <c r="E79" s="328" t="e">
        <f>'1. Detailed Budget POA'!#REF!</f>
        <v>#REF!</v>
      </c>
      <c r="F79" s="329"/>
      <c r="G79" s="328" t="e">
        <f t="shared" si="2"/>
        <v>#REF!</v>
      </c>
      <c r="H79" s="3"/>
      <c r="I79" s="771" t="s">
        <v>305</v>
      </c>
      <c r="J79" s="771" t="s">
        <v>306</v>
      </c>
      <c r="K79" s="3"/>
      <c r="L79" s="3"/>
      <c r="M79" s="329"/>
    </row>
    <row r="80" spans="1:13" ht="26.45" hidden="1" outlineLevel="1">
      <c r="A80" s="3"/>
      <c r="B80" s="327" t="e">
        <f>'1. Detailed Budget POA'!#REF!</f>
        <v>#REF!</v>
      </c>
      <c r="C80" s="771" t="s">
        <v>303</v>
      </c>
      <c r="D80" s="771" t="s">
        <v>304</v>
      </c>
      <c r="E80" s="328" t="e">
        <f>'1. Detailed Budget POA'!#REF!</f>
        <v>#REF!</v>
      </c>
      <c r="F80" s="329"/>
      <c r="G80" s="328" t="e">
        <f t="shared" si="2"/>
        <v>#REF!</v>
      </c>
      <c r="H80" s="3"/>
      <c r="I80" s="771" t="s">
        <v>305</v>
      </c>
      <c r="J80" s="771" t="s">
        <v>306</v>
      </c>
      <c r="K80" s="3"/>
      <c r="L80" s="3"/>
      <c r="M80" s="329"/>
    </row>
    <row r="81" spans="1:13" ht="26.45" hidden="1" outlineLevel="1">
      <c r="A81" s="3"/>
      <c r="B81" s="327" t="e">
        <f>'1. Detailed Budget POA'!#REF!</f>
        <v>#REF!</v>
      </c>
      <c r="C81" s="771" t="s">
        <v>303</v>
      </c>
      <c r="D81" s="771" t="s">
        <v>304</v>
      </c>
      <c r="E81" s="328" t="e">
        <f>'1. Detailed Budget POA'!#REF!</f>
        <v>#REF!</v>
      </c>
      <c r="F81" s="329"/>
      <c r="G81" s="328" t="e">
        <f t="shared" si="2"/>
        <v>#REF!</v>
      </c>
      <c r="H81" s="3"/>
      <c r="I81" s="771" t="s">
        <v>305</v>
      </c>
      <c r="J81" s="771" t="s">
        <v>306</v>
      </c>
      <c r="K81" s="3"/>
      <c r="L81" s="3"/>
      <c r="M81" s="329"/>
    </row>
    <row r="82" spans="1:13" ht="26.45" hidden="1" outlineLevel="1">
      <c r="A82" s="3"/>
      <c r="B82" s="327" t="e">
        <f>'1. Detailed Budget POA'!#REF!</f>
        <v>#REF!</v>
      </c>
      <c r="C82" s="771" t="s">
        <v>303</v>
      </c>
      <c r="D82" s="771" t="s">
        <v>304</v>
      </c>
      <c r="E82" s="328" t="e">
        <f>'1. Detailed Budget POA'!#REF!</f>
        <v>#REF!</v>
      </c>
      <c r="F82" s="329"/>
      <c r="G82" s="328" t="e">
        <f t="shared" si="2"/>
        <v>#REF!</v>
      </c>
      <c r="H82" s="3"/>
      <c r="I82" s="771" t="s">
        <v>305</v>
      </c>
      <c r="J82" s="771" t="s">
        <v>306</v>
      </c>
      <c r="K82" s="3"/>
      <c r="L82" s="3"/>
      <c r="M82" s="329"/>
    </row>
    <row r="83" spans="1:13" ht="26.45" hidden="1" outlineLevel="1">
      <c r="A83" s="3"/>
      <c r="B83" s="327" t="e">
        <f>'1. Detailed Budget POA'!#REF!</f>
        <v>#REF!</v>
      </c>
      <c r="C83" s="771" t="s">
        <v>303</v>
      </c>
      <c r="D83" s="771" t="s">
        <v>304</v>
      </c>
      <c r="E83" s="328" t="e">
        <f>'1. Detailed Budget POA'!#REF!</f>
        <v>#REF!</v>
      </c>
      <c r="F83" s="329"/>
      <c r="G83" s="328" t="e">
        <f t="shared" si="2"/>
        <v>#REF!</v>
      </c>
      <c r="H83" s="3"/>
      <c r="I83" s="771" t="s">
        <v>305</v>
      </c>
      <c r="J83" s="771" t="s">
        <v>306</v>
      </c>
      <c r="K83" s="3"/>
      <c r="L83" s="3"/>
      <c r="M83" s="329"/>
    </row>
    <row r="84" spans="1:13" ht="26.45" hidden="1" outlineLevel="1">
      <c r="A84" s="3"/>
      <c r="B84" s="327" t="e">
        <f>'1. Detailed Budget POA'!#REF!</f>
        <v>#REF!</v>
      </c>
      <c r="C84" s="771" t="s">
        <v>303</v>
      </c>
      <c r="D84" s="771" t="s">
        <v>304</v>
      </c>
      <c r="E84" s="328" t="e">
        <f>'1. Detailed Budget POA'!#REF!</f>
        <v>#REF!</v>
      </c>
      <c r="F84" s="329"/>
      <c r="G84" s="328" t="e">
        <f t="shared" si="2"/>
        <v>#REF!</v>
      </c>
      <c r="H84" s="3"/>
      <c r="I84" s="771" t="s">
        <v>305</v>
      </c>
      <c r="J84" s="771" t="s">
        <v>306</v>
      </c>
      <c r="K84" s="3"/>
      <c r="L84" s="3"/>
      <c r="M84" s="329"/>
    </row>
    <row r="85" spans="1:13" ht="26.45" hidden="1" outlineLevel="1">
      <c r="A85" s="3"/>
      <c r="B85" s="327">
        <f>'1. Detailed Budget POA'!J69</f>
        <v>0</v>
      </c>
      <c r="C85" s="771" t="s">
        <v>303</v>
      </c>
      <c r="D85" s="771" t="s">
        <v>304</v>
      </c>
      <c r="E85" s="328">
        <f>'1. Detailed Budget POA'!N69</f>
        <v>0</v>
      </c>
      <c r="F85" s="329"/>
      <c r="G85" s="328">
        <f t="shared" si="2"/>
        <v>0</v>
      </c>
      <c r="H85" s="3"/>
      <c r="I85" s="771" t="s">
        <v>305</v>
      </c>
      <c r="J85" s="771" t="s">
        <v>306</v>
      </c>
      <c r="K85" s="3"/>
      <c r="L85" s="3"/>
      <c r="M85" s="329"/>
    </row>
    <row r="86" spans="1:13" ht="26.45" hidden="1" outlineLevel="1">
      <c r="A86" s="3"/>
      <c r="B86" s="327">
        <f>'1. Detailed Budget POA'!J70</f>
        <v>0</v>
      </c>
      <c r="C86" s="771" t="s">
        <v>303</v>
      </c>
      <c r="D86" s="771" t="s">
        <v>304</v>
      </c>
      <c r="E86" s="328">
        <f>'1. Detailed Budget POA'!N70</f>
        <v>0</v>
      </c>
      <c r="F86" s="329"/>
      <c r="G86" s="328">
        <f t="shared" si="2"/>
        <v>0</v>
      </c>
      <c r="H86" s="3"/>
      <c r="I86" s="771" t="s">
        <v>305</v>
      </c>
      <c r="J86" s="771" t="s">
        <v>306</v>
      </c>
      <c r="K86" s="3"/>
      <c r="L86" s="3"/>
      <c r="M86" s="329"/>
    </row>
    <row r="87" spans="1:13" ht="26.45" collapsed="1">
      <c r="A87" s="3">
        <v>30</v>
      </c>
      <c r="B87" s="327" t="e">
        <f>'1. Detailed Budget POA'!#REF!</f>
        <v>#REF!</v>
      </c>
      <c r="C87" s="771" t="s">
        <v>303</v>
      </c>
      <c r="D87" s="771" t="s">
        <v>304</v>
      </c>
      <c r="E87" s="328" t="e">
        <f>'1. Detailed Budget POA'!#REF!</f>
        <v>#REF!</v>
      </c>
      <c r="F87" s="329"/>
      <c r="G87" s="328" t="e">
        <f t="shared" si="2"/>
        <v>#REF!</v>
      </c>
      <c r="H87" s="3">
        <v>3.1</v>
      </c>
      <c r="I87" s="771" t="s">
        <v>305</v>
      </c>
      <c r="J87" s="771" t="s">
        <v>306</v>
      </c>
      <c r="K87" s="3">
        <v>2019</v>
      </c>
      <c r="L87" s="3">
        <v>2019</v>
      </c>
      <c r="M87" s="329"/>
    </row>
    <row r="88" spans="1:13" ht="26.45">
      <c r="A88" s="3">
        <v>31</v>
      </c>
      <c r="B88" s="327" t="e">
        <f>'1. Detailed Budget POA'!#REF!</f>
        <v>#REF!</v>
      </c>
      <c r="C88" s="771" t="s">
        <v>303</v>
      </c>
      <c r="D88" s="771" t="s">
        <v>304</v>
      </c>
      <c r="E88" s="328" t="e">
        <f>'1. Detailed Budget POA'!#REF!</f>
        <v>#REF!</v>
      </c>
      <c r="F88" s="329"/>
      <c r="G88" s="328" t="e">
        <f>SUM(E88:F88)</f>
        <v>#REF!</v>
      </c>
      <c r="H88" s="3">
        <v>3.1</v>
      </c>
      <c r="I88" s="771" t="s">
        <v>305</v>
      </c>
      <c r="J88" s="771" t="s">
        <v>306</v>
      </c>
      <c r="K88" s="3">
        <v>2021</v>
      </c>
      <c r="L88" s="3">
        <v>2021</v>
      </c>
      <c r="M88" s="329"/>
    </row>
    <row r="89" spans="1:13" ht="26.45">
      <c r="A89" s="3">
        <v>32</v>
      </c>
      <c r="B89" s="327" t="e">
        <f>'1. Detailed Budget POA'!#REF!</f>
        <v>#REF!</v>
      </c>
      <c r="C89" s="771" t="s">
        <v>303</v>
      </c>
      <c r="D89" s="771" t="s">
        <v>304</v>
      </c>
      <c r="E89" s="328" t="e">
        <f>'1. Detailed Budget POA'!#REF!</f>
        <v>#REF!</v>
      </c>
      <c r="F89" s="329"/>
      <c r="G89" s="328" t="e">
        <f t="shared" si="2"/>
        <v>#REF!</v>
      </c>
      <c r="H89" s="3">
        <v>3.1</v>
      </c>
      <c r="I89" s="771" t="s">
        <v>305</v>
      </c>
      <c r="J89" s="771" t="s">
        <v>306</v>
      </c>
      <c r="K89" s="3">
        <v>2019</v>
      </c>
      <c r="L89" s="3">
        <v>2020</v>
      </c>
      <c r="M89" s="329"/>
    </row>
    <row r="90" spans="1:13" ht="26.45" hidden="1" outlineLevel="1">
      <c r="A90" s="3"/>
      <c r="B90" s="327" t="e">
        <f>'1. Detailed Budget POA'!#REF!</f>
        <v>#REF!</v>
      </c>
      <c r="C90" s="771" t="s">
        <v>303</v>
      </c>
      <c r="D90" s="771" t="s">
        <v>304</v>
      </c>
      <c r="E90" s="328" t="e">
        <f>'1. Detailed Budget POA'!#REF!</f>
        <v>#REF!</v>
      </c>
      <c r="F90" s="329"/>
      <c r="G90" s="328" t="e">
        <f t="shared" si="2"/>
        <v>#REF!</v>
      </c>
      <c r="H90" s="3"/>
      <c r="I90" s="771" t="s">
        <v>305</v>
      </c>
      <c r="J90" s="771" t="s">
        <v>306</v>
      </c>
      <c r="K90" s="3"/>
      <c r="L90" s="3"/>
      <c r="M90" s="329"/>
    </row>
    <row r="91" spans="1:13" ht="26.45" hidden="1" outlineLevel="1">
      <c r="A91" s="3"/>
      <c r="B91" s="327" t="e">
        <f>'1. Detailed Budget POA'!#REF!</f>
        <v>#REF!</v>
      </c>
      <c r="C91" s="771" t="s">
        <v>303</v>
      </c>
      <c r="D91" s="771" t="s">
        <v>304</v>
      </c>
      <c r="E91" s="328" t="e">
        <f>'1. Detailed Budget POA'!#REF!</f>
        <v>#REF!</v>
      </c>
      <c r="F91" s="329"/>
      <c r="G91" s="328" t="e">
        <f t="shared" si="2"/>
        <v>#REF!</v>
      </c>
      <c r="H91" s="3"/>
      <c r="I91" s="771" t="s">
        <v>305</v>
      </c>
      <c r="J91" s="771" t="s">
        <v>306</v>
      </c>
      <c r="K91" s="3"/>
      <c r="L91" s="3"/>
      <c r="M91" s="329"/>
    </row>
    <row r="92" spans="1:13" ht="26.45" hidden="1" outlineLevel="1">
      <c r="A92" s="3"/>
      <c r="B92" s="327" t="e">
        <f>'1. Detailed Budget POA'!#REF!</f>
        <v>#REF!</v>
      </c>
      <c r="C92" s="771" t="s">
        <v>303</v>
      </c>
      <c r="D92" s="771" t="s">
        <v>304</v>
      </c>
      <c r="E92" s="328" t="e">
        <f>'1. Detailed Budget POA'!#REF!</f>
        <v>#REF!</v>
      </c>
      <c r="F92" s="329"/>
      <c r="G92" s="328" t="e">
        <f t="shared" si="2"/>
        <v>#REF!</v>
      </c>
      <c r="H92" s="3"/>
      <c r="I92" s="771" t="s">
        <v>305</v>
      </c>
      <c r="J92" s="771" t="s">
        <v>306</v>
      </c>
      <c r="K92" s="3"/>
      <c r="L92" s="3"/>
      <c r="M92" s="329"/>
    </row>
    <row r="93" spans="1:13" ht="26.45" hidden="1" outlineLevel="1">
      <c r="A93" s="3"/>
      <c r="B93" s="327" t="e">
        <f>'1. Detailed Budget POA'!#REF!</f>
        <v>#REF!</v>
      </c>
      <c r="C93" s="771" t="s">
        <v>303</v>
      </c>
      <c r="D93" s="771" t="s">
        <v>304</v>
      </c>
      <c r="E93" s="328" t="e">
        <f>'1. Detailed Budget POA'!#REF!</f>
        <v>#REF!</v>
      </c>
      <c r="F93" s="329"/>
      <c r="G93" s="328" t="e">
        <f t="shared" si="2"/>
        <v>#REF!</v>
      </c>
      <c r="H93" s="3"/>
      <c r="I93" s="771" t="s">
        <v>305</v>
      </c>
      <c r="J93" s="771" t="s">
        <v>306</v>
      </c>
      <c r="K93" s="3"/>
      <c r="L93" s="3"/>
      <c r="M93" s="329"/>
    </row>
    <row r="94" spans="1:13" ht="26.45" hidden="1" outlineLevel="1">
      <c r="A94" s="3"/>
      <c r="B94" s="327" t="e">
        <f>'1. Detailed Budget POA'!#REF!</f>
        <v>#REF!</v>
      </c>
      <c r="C94" s="771" t="s">
        <v>303</v>
      </c>
      <c r="D94" s="771" t="s">
        <v>304</v>
      </c>
      <c r="E94" s="328" t="e">
        <f>'1. Detailed Budget POA'!#REF!</f>
        <v>#REF!</v>
      </c>
      <c r="F94" s="329"/>
      <c r="G94" s="328" t="e">
        <f t="shared" si="2"/>
        <v>#REF!</v>
      </c>
      <c r="H94" s="3"/>
      <c r="I94" s="771" t="s">
        <v>305</v>
      </c>
      <c r="J94" s="771" t="s">
        <v>306</v>
      </c>
      <c r="K94" s="3"/>
      <c r="L94" s="3"/>
      <c r="M94" s="329"/>
    </row>
    <row r="95" spans="1:13" ht="26.45" hidden="1" outlineLevel="1">
      <c r="A95" s="3"/>
      <c r="B95" s="327" t="e">
        <f>'1. Detailed Budget POA'!#REF!</f>
        <v>#REF!</v>
      </c>
      <c r="C95" s="771" t="s">
        <v>303</v>
      </c>
      <c r="D95" s="771" t="s">
        <v>304</v>
      </c>
      <c r="E95" s="328" t="e">
        <f>'1. Detailed Budget POA'!#REF!</f>
        <v>#REF!</v>
      </c>
      <c r="F95" s="329"/>
      <c r="G95" s="328" t="e">
        <f t="shared" si="2"/>
        <v>#REF!</v>
      </c>
      <c r="H95" s="3"/>
      <c r="I95" s="771" t="s">
        <v>305</v>
      </c>
      <c r="J95" s="771" t="s">
        <v>306</v>
      </c>
      <c r="K95" s="3"/>
      <c r="L95" s="3"/>
      <c r="M95" s="329"/>
    </row>
    <row r="96" spans="1:13" ht="26.45" hidden="1" outlineLevel="1">
      <c r="A96" s="3"/>
      <c r="B96" s="327" t="e">
        <f>'1. Detailed Budget POA'!#REF!</f>
        <v>#REF!</v>
      </c>
      <c r="C96" s="771" t="s">
        <v>303</v>
      </c>
      <c r="D96" s="771" t="s">
        <v>304</v>
      </c>
      <c r="E96" s="328" t="e">
        <f>'1. Detailed Budget POA'!#REF!</f>
        <v>#REF!</v>
      </c>
      <c r="F96" s="329"/>
      <c r="G96" s="328" t="e">
        <f t="shared" si="2"/>
        <v>#REF!</v>
      </c>
      <c r="H96" s="3"/>
      <c r="I96" s="771" t="s">
        <v>305</v>
      </c>
      <c r="J96" s="771" t="s">
        <v>306</v>
      </c>
      <c r="K96" s="3"/>
      <c r="L96" s="3"/>
      <c r="M96" s="329"/>
    </row>
    <row r="97" spans="1:13" ht="26.45" hidden="1" outlineLevel="1">
      <c r="A97" s="3"/>
      <c r="B97" s="327" t="e">
        <f>'1. Detailed Budget POA'!#REF!</f>
        <v>#REF!</v>
      </c>
      <c r="C97" s="771" t="s">
        <v>303</v>
      </c>
      <c r="D97" s="771" t="s">
        <v>304</v>
      </c>
      <c r="E97" s="328" t="e">
        <f>'1. Detailed Budget POA'!#REF!</f>
        <v>#REF!</v>
      </c>
      <c r="F97" s="329"/>
      <c r="G97" s="328" t="e">
        <f t="shared" si="2"/>
        <v>#REF!</v>
      </c>
      <c r="H97" s="3"/>
      <c r="I97" s="771" t="s">
        <v>305</v>
      </c>
      <c r="J97" s="771" t="s">
        <v>306</v>
      </c>
      <c r="K97" s="3"/>
      <c r="L97" s="3"/>
      <c r="M97" s="329"/>
    </row>
    <row r="98" spans="1:13" ht="26.45" collapsed="1">
      <c r="A98" s="3">
        <v>33</v>
      </c>
      <c r="B98" s="327" t="e">
        <f>'1. Detailed Budget POA'!#REF!</f>
        <v>#REF!</v>
      </c>
      <c r="C98" s="771" t="s">
        <v>303</v>
      </c>
      <c r="D98" s="771" t="s">
        <v>304</v>
      </c>
      <c r="E98" s="328" t="e">
        <f>'1. Detailed Budget POA'!#REF!</f>
        <v>#REF!</v>
      </c>
      <c r="F98" s="329"/>
      <c r="G98" s="328" t="e">
        <f t="shared" si="2"/>
        <v>#REF!</v>
      </c>
      <c r="H98" s="3">
        <v>3.2</v>
      </c>
      <c r="I98" s="771" t="s">
        <v>305</v>
      </c>
      <c r="J98" s="771" t="s">
        <v>306</v>
      </c>
      <c r="K98" s="3">
        <v>2020</v>
      </c>
      <c r="L98" s="3">
        <v>2020</v>
      </c>
      <c r="M98" s="329"/>
    </row>
    <row r="99" spans="1:13" ht="26.45">
      <c r="A99" s="3">
        <v>34</v>
      </c>
      <c r="B99" s="327" t="e">
        <f>'1. Detailed Budget POA'!#REF!</f>
        <v>#REF!</v>
      </c>
      <c r="C99" s="771" t="s">
        <v>303</v>
      </c>
      <c r="D99" s="771" t="s">
        <v>304</v>
      </c>
      <c r="E99" s="328" t="e">
        <f>'1. Detailed Budget POA'!#REF!</f>
        <v>#REF!</v>
      </c>
      <c r="F99" s="329"/>
      <c r="G99" s="328" t="e">
        <f t="shared" si="2"/>
        <v>#REF!</v>
      </c>
      <c r="H99" s="3">
        <v>3.2</v>
      </c>
      <c r="I99" s="771" t="s">
        <v>305</v>
      </c>
      <c r="J99" s="771" t="s">
        <v>306</v>
      </c>
      <c r="K99" s="3">
        <v>2020</v>
      </c>
      <c r="L99" s="3">
        <v>2021</v>
      </c>
      <c r="M99" s="329"/>
    </row>
    <row r="100" spans="1:13" ht="26.45">
      <c r="A100" s="3">
        <v>35</v>
      </c>
      <c r="B100" s="327" t="e">
        <f>'1. Detailed Budget POA'!#REF!</f>
        <v>#REF!</v>
      </c>
      <c r="C100" s="771" t="s">
        <v>303</v>
      </c>
      <c r="D100" s="771" t="s">
        <v>304</v>
      </c>
      <c r="E100" s="328" t="e">
        <f>'1. Detailed Budget POA'!#REF!</f>
        <v>#REF!</v>
      </c>
      <c r="F100" s="329"/>
      <c r="G100" s="328" t="e">
        <f>SUM(E100:F100)</f>
        <v>#REF!</v>
      </c>
      <c r="H100" s="3">
        <v>3.2</v>
      </c>
      <c r="I100" s="771" t="s">
        <v>305</v>
      </c>
      <c r="J100" s="771" t="s">
        <v>306</v>
      </c>
      <c r="K100" s="3">
        <v>2021</v>
      </c>
      <c r="L100" s="3">
        <v>2021</v>
      </c>
      <c r="M100" s="329"/>
    </row>
    <row r="101" spans="1:13" ht="26.45">
      <c r="A101" s="3">
        <v>36</v>
      </c>
      <c r="B101" s="327" t="e">
        <f>'1. Detailed Budget POA'!#REF!</f>
        <v>#REF!</v>
      </c>
      <c r="C101" s="771" t="s">
        <v>303</v>
      </c>
      <c r="D101" s="771" t="s">
        <v>304</v>
      </c>
      <c r="E101" s="328" t="e">
        <f>'1. Detailed Budget POA'!#REF!</f>
        <v>#REF!</v>
      </c>
      <c r="F101" s="329"/>
      <c r="G101" s="328" t="e">
        <f t="shared" si="2"/>
        <v>#REF!</v>
      </c>
      <c r="H101" s="3">
        <v>3.2</v>
      </c>
      <c r="I101" s="771" t="s">
        <v>305</v>
      </c>
      <c r="J101" s="771" t="s">
        <v>306</v>
      </c>
      <c r="K101" s="3">
        <v>2020</v>
      </c>
      <c r="L101" s="3">
        <v>2021</v>
      </c>
      <c r="M101" s="329"/>
    </row>
    <row r="102" spans="1:13" ht="26.45">
      <c r="A102" s="3">
        <v>37</v>
      </c>
      <c r="B102" s="327" t="e">
        <f>'1. Detailed Budget POA'!#REF!</f>
        <v>#REF!</v>
      </c>
      <c r="C102" s="771" t="s">
        <v>303</v>
      </c>
      <c r="D102" s="771" t="s">
        <v>304</v>
      </c>
      <c r="E102" s="328" t="e">
        <f>'1. Detailed Budget POA'!#REF!</f>
        <v>#REF!</v>
      </c>
      <c r="F102" s="329"/>
      <c r="G102" s="328" t="e">
        <f t="shared" si="2"/>
        <v>#REF!</v>
      </c>
      <c r="H102" s="3"/>
      <c r="I102" s="771" t="s">
        <v>305</v>
      </c>
      <c r="J102" s="771" t="s">
        <v>306</v>
      </c>
      <c r="K102" s="3"/>
      <c r="L102" s="3"/>
      <c r="M102" s="329"/>
    </row>
    <row r="103" spans="1:13" ht="26.45" hidden="1" outlineLevel="1">
      <c r="A103" s="3"/>
      <c r="B103" s="327" t="e">
        <f>'1. Detailed Budget POA'!#REF!</f>
        <v>#REF!</v>
      </c>
      <c r="C103" s="771" t="s">
        <v>303</v>
      </c>
      <c r="D103" s="771" t="s">
        <v>304</v>
      </c>
      <c r="E103" s="328" t="e">
        <f>'1. Detailed Budget POA'!#REF!</f>
        <v>#REF!</v>
      </c>
      <c r="F103" s="329"/>
      <c r="G103" s="328" t="e">
        <f t="shared" si="2"/>
        <v>#REF!</v>
      </c>
      <c r="H103" s="3"/>
      <c r="I103" s="771" t="s">
        <v>305</v>
      </c>
      <c r="J103" s="771" t="s">
        <v>306</v>
      </c>
      <c r="K103" s="3"/>
      <c r="L103" s="3"/>
      <c r="M103" s="329"/>
    </row>
    <row r="104" spans="1:13" ht="26.45" hidden="1" outlineLevel="1">
      <c r="A104" s="3"/>
      <c r="B104" s="327" t="e">
        <f>'1. Detailed Budget POA'!#REF!</f>
        <v>#REF!</v>
      </c>
      <c r="C104" s="771" t="s">
        <v>303</v>
      </c>
      <c r="D104" s="771" t="s">
        <v>304</v>
      </c>
      <c r="E104" s="328" t="e">
        <f>'1. Detailed Budget POA'!#REF!</f>
        <v>#REF!</v>
      </c>
      <c r="F104" s="329"/>
      <c r="G104" s="328" t="e">
        <f t="shared" si="2"/>
        <v>#REF!</v>
      </c>
      <c r="H104" s="3"/>
      <c r="I104" s="771" t="s">
        <v>305</v>
      </c>
      <c r="J104" s="771" t="s">
        <v>306</v>
      </c>
      <c r="K104" s="3"/>
      <c r="L104" s="3"/>
      <c r="M104" s="329"/>
    </row>
    <row r="105" spans="1:13" ht="26.45" hidden="1" outlineLevel="1">
      <c r="A105" s="3"/>
      <c r="B105" s="327" t="e">
        <f>'1. Detailed Budget POA'!#REF!</f>
        <v>#REF!</v>
      </c>
      <c r="C105" s="771" t="s">
        <v>303</v>
      </c>
      <c r="D105" s="771" t="s">
        <v>304</v>
      </c>
      <c r="E105" s="328" t="e">
        <f>'1. Detailed Budget POA'!#REF!</f>
        <v>#REF!</v>
      </c>
      <c r="F105" s="329"/>
      <c r="G105" s="328" t="e">
        <f t="shared" si="2"/>
        <v>#REF!</v>
      </c>
      <c r="H105" s="3"/>
      <c r="I105" s="771" t="s">
        <v>305</v>
      </c>
      <c r="J105" s="771" t="s">
        <v>306</v>
      </c>
      <c r="K105" s="3"/>
      <c r="L105" s="3"/>
      <c r="M105" s="329"/>
    </row>
    <row r="106" spans="1:13" ht="26.45" hidden="1" outlineLevel="1">
      <c r="A106" s="3"/>
      <c r="B106" s="327" t="e">
        <f>'1. Detailed Budget POA'!#REF!</f>
        <v>#REF!</v>
      </c>
      <c r="C106" s="771" t="s">
        <v>303</v>
      </c>
      <c r="D106" s="771" t="s">
        <v>304</v>
      </c>
      <c r="E106" s="328" t="e">
        <f>'1. Detailed Budget POA'!#REF!</f>
        <v>#REF!</v>
      </c>
      <c r="F106" s="329"/>
      <c r="G106" s="328" t="e">
        <f t="shared" si="2"/>
        <v>#REF!</v>
      </c>
      <c r="H106" s="3"/>
      <c r="I106" s="771" t="s">
        <v>305</v>
      </c>
      <c r="J106" s="771" t="s">
        <v>306</v>
      </c>
      <c r="K106" s="3"/>
      <c r="L106" s="3"/>
      <c r="M106" s="329"/>
    </row>
    <row r="107" spans="1:13" ht="26.45" hidden="1" outlineLevel="1">
      <c r="A107" s="3"/>
      <c r="B107" s="327" t="e">
        <f>'1. Detailed Budget POA'!#REF!</f>
        <v>#REF!</v>
      </c>
      <c r="C107" s="771" t="s">
        <v>303</v>
      </c>
      <c r="D107" s="771" t="s">
        <v>304</v>
      </c>
      <c r="E107" s="328" t="e">
        <f>'1. Detailed Budget POA'!#REF!</f>
        <v>#REF!</v>
      </c>
      <c r="F107" s="329"/>
      <c r="G107" s="328" t="e">
        <f t="shared" si="2"/>
        <v>#REF!</v>
      </c>
      <c r="H107" s="3"/>
      <c r="I107" s="771" t="s">
        <v>305</v>
      </c>
      <c r="J107" s="771" t="s">
        <v>306</v>
      </c>
      <c r="K107" s="3"/>
      <c r="L107" s="3"/>
      <c r="M107" s="329"/>
    </row>
    <row r="108" spans="1:13" ht="26.45" hidden="1" outlineLevel="1">
      <c r="A108" s="3"/>
      <c r="B108" s="327" t="e">
        <f>'1. Detailed Budget POA'!#REF!</f>
        <v>#REF!</v>
      </c>
      <c r="C108" s="771" t="s">
        <v>303</v>
      </c>
      <c r="D108" s="771" t="s">
        <v>304</v>
      </c>
      <c r="E108" s="328" t="e">
        <f>'1. Detailed Budget POA'!#REF!</f>
        <v>#REF!</v>
      </c>
      <c r="F108" s="329"/>
      <c r="G108" s="328" t="e">
        <f t="shared" si="2"/>
        <v>#REF!</v>
      </c>
      <c r="H108" s="3"/>
      <c r="I108" s="771" t="s">
        <v>305</v>
      </c>
      <c r="J108" s="771" t="s">
        <v>306</v>
      </c>
      <c r="K108" s="3"/>
      <c r="L108" s="3"/>
      <c r="M108" s="329"/>
    </row>
    <row r="109" spans="1:13" ht="26.45" hidden="1" outlineLevel="1">
      <c r="A109" s="3">
        <v>37</v>
      </c>
      <c r="B109" s="327" t="e">
        <f>'1. Detailed Budget POA'!#REF!</f>
        <v>#REF!</v>
      </c>
      <c r="C109" s="771" t="s">
        <v>303</v>
      </c>
      <c r="D109" s="771" t="s">
        <v>304</v>
      </c>
      <c r="E109" s="328" t="e">
        <f>'1. Detailed Budget POA'!#REF!</f>
        <v>#REF!</v>
      </c>
      <c r="F109" s="329"/>
      <c r="G109" s="328" t="e">
        <f t="shared" si="2"/>
        <v>#REF!</v>
      </c>
      <c r="H109" s="3">
        <v>3.3</v>
      </c>
      <c r="I109" s="771" t="s">
        <v>305</v>
      </c>
      <c r="J109" s="771" t="s">
        <v>306</v>
      </c>
      <c r="K109" s="3">
        <v>2020</v>
      </c>
      <c r="L109" s="3">
        <v>2020</v>
      </c>
      <c r="M109" s="329"/>
    </row>
    <row r="110" spans="1:13" ht="26.45" hidden="1" outlineLevel="1">
      <c r="A110" s="3"/>
      <c r="B110" s="327" t="e">
        <f>'1. Detailed Budget POA'!#REF!</f>
        <v>#REF!</v>
      </c>
      <c r="C110" s="771" t="s">
        <v>303</v>
      </c>
      <c r="D110" s="771" t="s">
        <v>304</v>
      </c>
      <c r="E110" s="328" t="e">
        <f>'1. Detailed Budget POA'!#REF!</f>
        <v>#REF!</v>
      </c>
      <c r="F110" s="329"/>
      <c r="G110" s="328" t="e">
        <f t="shared" si="2"/>
        <v>#REF!</v>
      </c>
      <c r="H110" s="3">
        <v>3.3</v>
      </c>
      <c r="I110" s="771" t="s">
        <v>305</v>
      </c>
      <c r="J110" s="771" t="s">
        <v>306</v>
      </c>
      <c r="K110" s="3"/>
      <c r="L110" s="3"/>
      <c r="M110" s="329"/>
    </row>
    <row r="111" spans="1:13" ht="26.45" hidden="1" outlineLevel="1">
      <c r="A111" s="3"/>
      <c r="B111" s="327" t="e">
        <f>'1. Detailed Budget POA'!#REF!</f>
        <v>#REF!</v>
      </c>
      <c r="C111" s="771" t="s">
        <v>303</v>
      </c>
      <c r="D111" s="771" t="s">
        <v>304</v>
      </c>
      <c r="E111" s="328" t="e">
        <f>'1. Detailed Budget POA'!#REF!</f>
        <v>#REF!</v>
      </c>
      <c r="F111" s="329"/>
      <c r="G111" s="328" t="e">
        <f t="shared" si="2"/>
        <v>#REF!</v>
      </c>
      <c r="H111" s="3">
        <v>3.3</v>
      </c>
      <c r="I111" s="771" t="s">
        <v>305</v>
      </c>
      <c r="J111" s="771" t="s">
        <v>306</v>
      </c>
      <c r="K111" s="3"/>
      <c r="L111" s="3"/>
      <c r="M111" s="329"/>
    </row>
    <row r="112" spans="1:13" ht="26.45" hidden="1" outlineLevel="1">
      <c r="A112" s="3"/>
      <c r="B112" s="327" t="e">
        <f>'1. Detailed Budget POA'!#REF!</f>
        <v>#REF!</v>
      </c>
      <c r="C112" s="771" t="s">
        <v>303</v>
      </c>
      <c r="D112" s="771" t="s">
        <v>304</v>
      </c>
      <c r="E112" s="328" t="e">
        <f>'1. Detailed Budget POA'!#REF!</f>
        <v>#REF!</v>
      </c>
      <c r="F112" s="329"/>
      <c r="G112" s="328" t="e">
        <f t="shared" si="2"/>
        <v>#REF!</v>
      </c>
      <c r="H112" s="3">
        <v>3.3</v>
      </c>
      <c r="I112" s="771" t="s">
        <v>305</v>
      </c>
      <c r="J112" s="771" t="s">
        <v>306</v>
      </c>
      <c r="K112" s="3"/>
      <c r="L112" s="3"/>
      <c r="M112" s="329"/>
    </row>
    <row r="113" spans="1:13" ht="26.45" collapsed="1">
      <c r="A113" s="3">
        <v>38</v>
      </c>
      <c r="B113" s="327" t="e">
        <f>'1. Detailed Budget POA'!#REF!</f>
        <v>#REF!</v>
      </c>
      <c r="C113" s="771" t="s">
        <v>303</v>
      </c>
      <c r="D113" s="771" t="s">
        <v>304</v>
      </c>
      <c r="E113" s="328" t="e">
        <f>'1. Detailed Budget POA'!#REF!</f>
        <v>#REF!</v>
      </c>
      <c r="F113" s="329"/>
      <c r="G113" s="328" t="e">
        <f t="shared" si="2"/>
        <v>#REF!</v>
      </c>
      <c r="H113" s="3">
        <v>3.3</v>
      </c>
      <c r="I113" s="771" t="s">
        <v>305</v>
      </c>
      <c r="J113" s="771" t="s">
        <v>306</v>
      </c>
      <c r="K113" s="3">
        <v>2022</v>
      </c>
      <c r="L113" s="3">
        <v>2022</v>
      </c>
      <c r="M113" s="329"/>
    </row>
    <row r="114" spans="1:13">
      <c r="A114" s="23"/>
      <c r="B114" s="23"/>
      <c r="C114" s="52"/>
      <c r="D114" s="52"/>
      <c r="E114" s="23"/>
      <c r="F114" s="23"/>
      <c r="G114" s="23"/>
      <c r="H114" s="23"/>
      <c r="I114" s="23"/>
      <c r="J114" s="23"/>
      <c r="K114" s="23"/>
      <c r="L114" s="23"/>
      <c r="M114" s="23"/>
    </row>
    <row r="115" spans="1:13" ht="24" customHeight="1">
      <c r="A115" s="48"/>
      <c r="B115" s="1065" t="s">
        <v>301</v>
      </c>
      <c r="C115" s="1065"/>
      <c r="D115" s="1065"/>
      <c r="E115" s="1066" t="e">
        <f>SUM(E12:E114)</f>
        <v>#REF!</v>
      </c>
      <c r="F115" s="1066">
        <f>SUM(F12:F114)</f>
        <v>0</v>
      </c>
      <c r="G115" s="1066" t="e">
        <f>SUM(G12:G114)</f>
        <v>#REF!</v>
      </c>
      <c r="H115" s="48"/>
      <c r="I115" s="48"/>
      <c r="J115" s="48"/>
      <c r="K115" s="48"/>
      <c r="L115" s="48"/>
      <c r="M115" s="48"/>
    </row>
    <row r="116" spans="1:13">
      <c r="A116" s="23"/>
      <c r="B116" s="23"/>
      <c r="C116" s="52"/>
      <c r="D116" s="52"/>
      <c r="E116" s="23"/>
      <c r="F116" s="23"/>
      <c r="G116" s="23"/>
      <c r="H116" s="23"/>
      <c r="I116" s="23"/>
      <c r="J116" s="23"/>
      <c r="K116" s="23"/>
      <c r="L116" s="23"/>
      <c r="M116" s="23"/>
    </row>
    <row r="117" spans="1:13">
      <c r="A117" s="947" t="s">
        <v>307</v>
      </c>
      <c r="B117" s="1063"/>
      <c r="C117" s="1063"/>
      <c r="D117" s="1063"/>
      <c r="E117" s="1063"/>
      <c r="F117" s="1063"/>
      <c r="G117" s="1063"/>
      <c r="H117" s="1063"/>
      <c r="I117" s="1063"/>
      <c r="J117" s="1063"/>
      <c r="K117" s="1063"/>
      <c r="L117" s="1063"/>
      <c r="M117" s="1064"/>
    </row>
    <row r="118" spans="1:13" ht="39.6" hidden="1" outlineLevel="1">
      <c r="A118" s="771">
        <v>1</v>
      </c>
      <c r="B118" s="327" t="str">
        <f>'1. Detailed Budget POA'!O10</f>
        <v>Adquisición de una solución (sistema informático) Comercial of the shelf (COATS) para la gestión de planillas</v>
      </c>
      <c r="C118" s="771" t="s">
        <v>303</v>
      </c>
      <c r="D118" s="771" t="s">
        <v>304</v>
      </c>
      <c r="E118" s="328">
        <f>'1. Detailed Budget POA'!R10</f>
        <v>12000000</v>
      </c>
      <c r="F118" s="8"/>
      <c r="G118" s="328">
        <f>SUM(E118:F118)</f>
        <v>12000000</v>
      </c>
      <c r="H118" s="771">
        <v>1.1000000000000001</v>
      </c>
      <c r="I118" s="771" t="s">
        <v>305</v>
      </c>
      <c r="J118" s="771" t="s">
        <v>308</v>
      </c>
      <c r="K118" s="8"/>
      <c r="L118" s="8"/>
      <c r="M118" s="8"/>
    </row>
    <row r="119" spans="1:13" ht="26.45" hidden="1" outlineLevel="1">
      <c r="A119" s="771">
        <v>1</v>
      </c>
      <c r="B119" s="327" t="str">
        <f>'1. Detailed Budget POA'!O11</f>
        <v>Interfaces con otros sistemas</v>
      </c>
      <c r="C119" s="771" t="s">
        <v>303</v>
      </c>
      <c r="D119" s="771" t="s">
        <v>304</v>
      </c>
      <c r="E119" s="328">
        <f>'1. Detailed Budget POA'!R11</f>
        <v>1000000</v>
      </c>
      <c r="F119" s="8"/>
      <c r="G119" s="328">
        <f t="shared" ref="G119:G174" si="3">SUM(E119:F119)</f>
        <v>1000000</v>
      </c>
      <c r="H119" s="771">
        <v>1.1000000000000001</v>
      </c>
      <c r="I119" s="771" t="s">
        <v>305</v>
      </c>
      <c r="J119" s="771" t="s">
        <v>308</v>
      </c>
      <c r="K119" s="8"/>
      <c r="L119" s="8"/>
      <c r="M119" s="8"/>
    </row>
    <row r="120" spans="1:13" ht="26.45" hidden="1" outlineLevel="1">
      <c r="A120" s="771">
        <v>1</v>
      </c>
      <c r="B120" s="327">
        <f>'1. Detailed Budget POA'!O12</f>
        <v>0</v>
      </c>
      <c r="C120" s="771" t="s">
        <v>303</v>
      </c>
      <c r="D120" s="771" t="s">
        <v>304</v>
      </c>
      <c r="E120" s="328">
        <f>'1. Detailed Budget POA'!R12</f>
        <v>0</v>
      </c>
      <c r="F120" s="8"/>
      <c r="G120" s="328">
        <f t="shared" si="3"/>
        <v>0</v>
      </c>
      <c r="H120" s="771">
        <v>1.1000000000000001</v>
      </c>
      <c r="I120" s="771" t="s">
        <v>305</v>
      </c>
      <c r="J120" s="771" t="s">
        <v>308</v>
      </c>
      <c r="K120" s="8"/>
      <c r="L120" s="8"/>
      <c r="M120" s="8"/>
    </row>
    <row r="121" spans="1:13" ht="26.45" hidden="1" outlineLevel="1">
      <c r="A121" s="771">
        <v>1</v>
      </c>
      <c r="B121" s="327">
        <f>'1. Detailed Budget POA'!O13</f>
        <v>0</v>
      </c>
      <c r="C121" s="771" t="s">
        <v>303</v>
      </c>
      <c r="D121" s="771" t="s">
        <v>304</v>
      </c>
      <c r="E121" s="328">
        <f>'1. Detailed Budget POA'!R13</f>
        <v>0</v>
      </c>
      <c r="F121" s="8"/>
      <c r="G121" s="328">
        <f t="shared" si="3"/>
        <v>0</v>
      </c>
      <c r="H121" s="771">
        <v>1.1000000000000001</v>
      </c>
      <c r="I121" s="771" t="s">
        <v>305</v>
      </c>
      <c r="J121" s="771" t="s">
        <v>308</v>
      </c>
      <c r="K121" s="8"/>
      <c r="L121" s="8"/>
      <c r="M121" s="8"/>
    </row>
    <row r="122" spans="1:13" ht="26.45" hidden="1" outlineLevel="1">
      <c r="A122" s="771">
        <v>1</v>
      </c>
      <c r="B122" s="327">
        <f>'1. Detailed Budget POA'!O18</f>
        <v>0</v>
      </c>
      <c r="C122" s="771" t="s">
        <v>303</v>
      </c>
      <c r="D122" s="771" t="s">
        <v>304</v>
      </c>
      <c r="E122" s="328">
        <f>'1. Detailed Budget POA'!R18</f>
        <v>0</v>
      </c>
      <c r="F122" s="8"/>
      <c r="G122" s="328">
        <f t="shared" si="3"/>
        <v>0</v>
      </c>
      <c r="H122" s="771">
        <v>1.1000000000000001</v>
      </c>
      <c r="I122" s="771" t="s">
        <v>305</v>
      </c>
      <c r="J122" s="771" t="s">
        <v>308</v>
      </c>
      <c r="K122" s="8"/>
      <c r="L122" s="8"/>
      <c r="M122" s="8"/>
    </row>
    <row r="123" spans="1:13" ht="26.45" hidden="1" outlineLevel="1">
      <c r="A123" s="771">
        <v>1</v>
      </c>
      <c r="B123" s="327" t="str">
        <f>'1. Detailed Budget POA'!O19</f>
        <v>Plataforma Tecnológica, (servidores, storage, telecomunicación)</v>
      </c>
      <c r="C123" s="771" t="s">
        <v>303</v>
      </c>
      <c r="D123" s="771" t="s">
        <v>304</v>
      </c>
      <c r="E123" s="328">
        <f>'1. Detailed Budget POA'!R19</f>
        <v>5000000</v>
      </c>
      <c r="F123" s="8"/>
      <c r="G123" s="328">
        <f t="shared" si="3"/>
        <v>5000000</v>
      </c>
      <c r="H123" s="771">
        <v>1.1000000000000001</v>
      </c>
      <c r="I123" s="771" t="s">
        <v>305</v>
      </c>
      <c r="J123" s="771" t="s">
        <v>308</v>
      </c>
      <c r="K123" s="8"/>
      <c r="L123" s="8"/>
      <c r="M123" s="8"/>
    </row>
    <row r="124" spans="1:13" ht="26.45" hidden="1" outlineLevel="1">
      <c r="A124" s="771">
        <v>1</v>
      </c>
      <c r="B124" s="327" t="str">
        <f>'1. Detailed Budget POA'!O20</f>
        <v>Sala de control de la operación del sistema de planillas</v>
      </c>
      <c r="C124" s="771" t="s">
        <v>303</v>
      </c>
      <c r="D124" s="771" t="s">
        <v>304</v>
      </c>
      <c r="E124" s="328">
        <f>'1. Detailed Budget POA'!R20</f>
        <v>1000000</v>
      </c>
      <c r="F124" s="8"/>
      <c r="G124" s="328">
        <f t="shared" si="3"/>
        <v>1000000</v>
      </c>
      <c r="H124" s="771">
        <v>1.1000000000000001</v>
      </c>
      <c r="I124" s="771" t="s">
        <v>305</v>
      </c>
      <c r="J124" s="771" t="s">
        <v>308</v>
      </c>
      <c r="K124" s="8"/>
      <c r="L124" s="8"/>
      <c r="M124" s="8"/>
    </row>
    <row r="125" spans="1:13" ht="26.45" hidden="1" outlineLevel="1">
      <c r="A125" s="771">
        <v>1</v>
      </c>
      <c r="B125" s="327" t="str">
        <f>'1. Detailed Budget POA'!O21</f>
        <v>Mesa de ayuda</v>
      </c>
      <c r="C125" s="771" t="s">
        <v>303</v>
      </c>
      <c r="D125" s="771" t="s">
        <v>304</v>
      </c>
      <c r="E125" s="328">
        <f>'1. Detailed Budget POA'!R21</f>
        <v>1270000</v>
      </c>
      <c r="F125" s="8"/>
      <c r="G125" s="328">
        <f t="shared" si="3"/>
        <v>1270000</v>
      </c>
      <c r="H125" s="771">
        <v>1.1000000000000001</v>
      </c>
      <c r="I125" s="771" t="s">
        <v>305</v>
      </c>
      <c r="J125" s="771" t="s">
        <v>308</v>
      </c>
      <c r="K125" s="8"/>
      <c r="L125" s="8"/>
      <c r="M125" s="8"/>
    </row>
    <row r="126" spans="1:13" ht="26.45" hidden="1" outlineLevel="1">
      <c r="A126" s="771">
        <v>1</v>
      </c>
      <c r="B126" s="327">
        <f>'1. Detailed Budget POA'!O22</f>
        <v>0</v>
      </c>
      <c r="C126" s="771" t="s">
        <v>303</v>
      </c>
      <c r="D126" s="771" t="s">
        <v>304</v>
      </c>
      <c r="E126" s="328">
        <f>'1. Detailed Budget POA'!R22</f>
        <v>0</v>
      </c>
      <c r="F126" s="8"/>
      <c r="G126" s="328">
        <f t="shared" si="3"/>
        <v>0</v>
      </c>
      <c r="H126" s="771">
        <v>1.1000000000000001</v>
      </c>
      <c r="I126" s="771" t="s">
        <v>305</v>
      </c>
      <c r="J126" s="771" t="s">
        <v>308</v>
      </c>
      <c r="K126" s="8"/>
      <c r="L126" s="8"/>
      <c r="M126" s="8"/>
    </row>
    <row r="127" spans="1:13" ht="26.45" hidden="1" outlineLevel="1">
      <c r="A127" s="771">
        <v>1</v>
      </c>
      <c r="B127" s="327">
        <f>'1. Detailed Budget POA'!O24</f>
        <v>0</v>
      </c>
      <c r="C127" s="771" t="s">
        <v>303</v>
      </c>
      <c r="D127" s="771" t="s">
        <v>304</v>
      </c>
      <c r="E127" s="328">
        <f>'1. Detailed Budget POA'!R24</f>
        <v>0</v>
      </c>
      <c r="F127" s="8"/>
      <c r="G127" s="328">
        <f t="shared" si="3"/>
        <v>0</v>
      </c>
      <c r="H127" s="771">
        <v>1.1000000000000001</v>
      </c>
      <c r="I127" s="771" t="s">
        <v>305</v>
      </c>
      <c r="J127" s="771" t="s">
        <v>308</v>
      </c>
      <c r="K127" s="8"/>
      <c r="L127" s="8"/>
      <c r="M127" s="8"/>
    </row>
    <row r="128" spans="1:13" ht="26.45" hidden="1" outlineLevel="1">
      <c r="A128" s="771">
        <v>1</v>
      </c>
      <c r="B128" s="327" t="e">
        <f>'1. Detailed Budget POA'!#REF!</f>
        <v>#REF!</v>
      </c>
      <c r="C128" s="771" t="s">
        <v>303</v>
      </c>
      <c r="D128" s="771" t="s">
        <v>304</v>
      </c>
      <c r="E128" s="328" t="e">
        <f>'1. Detailed Budget POA'!#REF!</f>
        <v>#REF!</v>
      </c>
      <c r="F128" s="8"/>
      <c r="G128" s="328" t="e">
        <f t="shared" si="3"/>
        <v>#REF!</v>
      </c>
      <c r="H128" s="771">
        <v>1.1000000000000001</v>
      </c>
      <c r="I128" s="771" t="s">
        <v>305</v>
      </c>
      <c r="J128" s="771" t="s">
        <v>308</v>
      </c>
      <c r="K128" s="8"/>
      <c r="L128" s="8"/>
      <c r="M128" s="8"/>
    </row>
    <row r="129" spans="1:13" ht="26.45" hidden="1" outlineLevel="1">
      <c r="A129" s="771">
        <v>1</v>
      </c>
      <c r="B129" s="327" t="e">
        <f>'1. Detailed Budget POA'!#REF!</f>
        <v>#REF!</v>
      </c>
      <c r="C129" s="771" t="s">
        <v>303</v>
      </c>
      <c r="D129" s="771" t="s">
        <v>304</v>
      </c>
      <c r="E129" s="328" t="e">
        <f>'1. Detailed Budget POA'!#REF!</f>
        <v>#REF!</v>
      </c>
      <c r="F129" s="8"/>
      <c r="G129" s="328" t="e">
        <f t="shared" si="3"/>
        <v>#REF!</v>
      </c>
      <c r="H129" s="771">
        <v>1.1000000000000001</v>
      </c>
      <c r="I129" s="771" t="s">
        <v>305</v>
      </c>
      <c r="J129" s="771" t="s">
        <v>308</v>
      </c>
      <c r="K129" s="8"/>
      <c r="L129" s="8"/>
      <c r="M129" s="8"/>
    </row>
    <row r="130" spans="1:13" ht="26.45" hidden="1" outlineLevel="1">
      <c r="A130" s="771">
        <v>1</v>
      </c>
      <c r="B130" s="327" t="e">
        <f>'1. Detailed Budget POA'!#REF!</f>
        <v>#REF!</v>
      </c>
      <c r="C130" s="771" t="s">
        <v>303</v>
      </c>
      <c r="D130" s="771" t="s">
        <v>304</v>
      </c>
      <c r="E130" s="328" t="e">
        <f>'1. Detailed Budget POA'!#REF!</f>
        <v>#REF!</v>
      </c>
      <c r="F130" s="8"/>
      <c r="G130" s="328" t="e">
        <f t="shared" si="3"/>
        <v>#REF!</v>
      </c>
      <c r="H130" s="771">
        <v>1.1000000000000001</v>
      </c>
      <c r="I130" s="771" t="s">
        <v>305</v>
      </c>
      <c r="J130" s="771" t="s">
        <v>308</v>
      </c>
      <c r="K130" s="8"/>
      <c r="L130" s="8"/>
      <c r="M130" s="8"/>
    </row>
    <row r="131" spans="1:13" ht="26.45" hidden="1" outlineLevel="1">
      <c r="A131" s="771">
        <v>1</v>
      </c>
      <c r="B131" s="327" t="e">
        <f>'1. Detailed Budget POA'!#REF!</f>
        <v>#REF!</v>
      </c>
      <c r="C131" s="771" t="s">
        <v>303</v>
      </c>
      <c r="D131" s="771" t="s">
        <v>304</v>
      </c>
      <c r="E131" s="328" t="e">
        <f>'1. Detailed Budget POA'!#REF!</f>
        <v>#REF!</v>
      </c>
      <c r="F131" s="8"/>
      <c r="G131" s="328" t="e">
        <f t="shared" si="3"/>
        <v>#REF!</v>
      </c>
      <c r="H131" s="771">
        <v>1.1000000000000001</v>
      </c>
      <c r="I131" s="771" t="s">
        <v>305</v>
      </c>
      <c r="J131" s="771" t="s">
        <v>308</v>
      </c>
      <c r="K131" s="8"/>
      <c r="L131" s="8"/>
      <c r="M131" s="8"/>
    </row>
    <row r="132" spans="1:13" ht="26.45" hidden="1" outlineLevel="1">
      <c r="A132" s="771">
        <v>1</v>
      </c>
      <c r="B132" s="327" t="e">
        <f>'1. Detailed Budget POA'!#REF!</f>
        <v>#REF!</v>
      </c>
      <c r="C132" s="771" t="s">
        <v>303</v>
      </c>
      <c r="D132" s="771" t="s">
        <v>304</v>
      </c>
      <c r="E132" s="328" t="e">
        <f>'1. Detailed Budget POA'!#REF!</f>
        <v>#REF!</v>
      </c>
      <c r="F132" s="8"/>
      <c r="G132" s="328" t="e">
        <f t="shared" si="3"/>
        <v>#REF!</v>
      </c>
      <c r="H132" s="771">
        <v>1.1000000000000001</v>
      </c>
      <c r="I132" s="771" t="s">
        <v>305</v>
      </c>
      <c r="J132" s="771" t="s">
        <v>308</v>
      </c>
      <c r="K132" s="8"/>
      <c r="L132" s="8"/>
      <c r="M132" s="8"/>
    </row>
    <row r="133" spans="1:13" ht="26.45" hidden="1" outlineLevel="1">
      <c r="A133" s="771">
        <v>1</v>
      </c>
      <c r="B133" s="327" t="e">
        <f>'1. Detailed Budget POA'!#REF!</f>
        <v>#REF!</v>
      </c>
      <c r="C133" s="771" t="s">
        <v>303</v>
      </c>
      <c r="D133" s="771" t="s">
        <v>304</v>
      </c>
      <c r="E133" s="328" t="e">
        <f>'1. Detailed Budget POA'!#REF!</f>
        <v>#REF!</v>
      </c>
      <c r="F133" s="8"/>
      <c r="G133" s="328" t="e">
        <f t="shared" si="3"/>
        <v>#REF!</v>
      </c>
      <c r="H133" s="771">
        <v>1.1000000000000001</v>
      </c>
      <c r="I133" s="771" t="s">
        <v>305</v>
      </c>
      <c r="J133" s="771" t="s">
        <v>308</v>
      </c>
      <c r="K133" s="8"/>
      <c r="L133" s="8"/>
      <c r="M133" s="8"/>
    </row>
    <row r="134" spans="1:13" ht="26.45" hidden="1" outlineLevel="1">
      <c r="A134" s="771">
        <v>1</v>
      </c>
      <c r="B134" s="327" t="e">
        <f>'1. Detailed Budget POA'!#REF!</f>
        <v>#REF!</v>
      </c>
      <c r="C134" s="771" t="s">
        <v>303</v>
      </c>
      <c r="D134" s="771" t="s">
        <v>304</v>
      </c>
      <c r="E134" s="328" t="e">
        <f>'1. Detailed Budget POA'!#REF!</f>
        <v>#REF!</v>
      </c>
      <c r="F134" s="8"/>
      <c r="G134" s="328" t="e">
        <f t="shared" si="3"/>
        <v>#REF!</v>
      </c>
      <c r="H134" s="771">
        <v>1.1000000000000001</v>
      </c>
      <c r="I134" s="771" t="s">
        <v>305</v>
      </c>
      <c r="J134" s="771" t="s">
        <v>308</v>
      </c>
      <c r="K134" s="8"/>
      <c r="L134" s="8"/>
      <c r="M134" s="8"/>
    </row>
    <row r="135" spans="1:13" ht="39" customHeight="1" collapsed="1">
      <c r="A135" s="771">
        <v>1</v>
      </c>
      <c r="B135" s="327" t="e">
        <f>'1. Detailed Budget POA'!#REF!</f>
        <v>#REF!</v>
      </c>
      <c r="C135" s="771" t="s">
        <v>303</v>
      </c>
      <c r="D135" s="771" t="s">
        <v>304</v>
      </c>
      <c r="E135" s="328" t="e">
        <f>'1. Detailed Budget POA'!#REF!</f>
        <v>#REF!</v>
      </c>
      <c r="F135" s="8"/>
      <c r="G135" s="328" t="e">
        <f>SUM(E135:F135)</f>
        <v>#REF!</v>
      </c>
      <c r="H135" s="771">
        <v>1.1000000000000001</v>
      </c>
      <c r="I135" s="771" t="s">
        <v>305</v>
      </c>
      <c r="J135" s="771" t="s">
        <v>308</v>
      </c>
      <c r="K135" s="771">
        <v>2021</v>
      </c>
      <c r="L135" s="771">
        <v>2022</v>
      </c>
      <c r="M135" s="8"/>
    </row>
    <row r="136" spans="1:13" ht="39" customHeight="1">
      <c r="A136" s="771">
        <v>2</v>
      </c>
      <c r="B136" s="327" t="e">
        <f>'1. Detailed Budget POA'!#REF!</f>
        <v>#REF!</v>
      </c>
      <c r="C136" s="771" t="s">
        <v>303</v>
      </c>
      <c r="D136" s="771" t="s">
        <v>304</v>
      </c>
      <c r="E136" s="328" t="e">
        <f>'1. Detailed Budget POA'!#REF!</f>
        <v>#REF!</v>
      </c>
      <c r="F136" s="8"/>
      <c r="G136" s="328" t="e">
        <f>SUM(E136:F136)</f>
        <v>#REF!</v>
      </c>
      <c r="H136" s="771">
        <v>1.1000000000000001</v>
      </c>
      <c r="I136" s="771" t="s">
        <v>305</v>
      </c>
      <c r="J136" s="771" t="s">
        <v>308</v>
      </c>
      <c r="K136" s="771">
        <v>2021</v>
      </c>
      <c r="L136" s="771">
        <v>2022</v>
      </c>
      <c r="M136" s="8"/>
    </row>
    <row r="137" spans="1:13" ht="26.45" hidden="1" outlineLevel="1">
      <c r="A137" s="771">
        <v>1</v>
      </c>
      <c r="B137" s="327" t="e">
        <f>'1. Detailed Budget POA'!#REF!</f>
        <v>#REF!</v>
      </c>
      <c r="C137" s="771" t="s">
        <v>303</v>
      </c>
      <c r="D137" s="771" t="s">
        <v>304</v>
      </c>
      <c r="E137" s="328" t="e">
        <f>'1. Detailed Budget POA'!#REF!</f>
        <v>#REF!</v>
      </c>
      <c r="F137" s="8"/>
      <c r="G137" s="328" t="e">
        <f t="shared" si="3"/>
        <v>#REF!</v>
      </c>
      <c r="H137" s="771">
        <v>1.4</v>
      </c>
      <c r="I137" s="771" t="s">
        <v>305</v>
      </c>
      <c r="J137" s="771" t="s">
        <v>308</v>
      </c>
      <c r="K137" s="771">
        <v>2021</v>
      </c>
      <c r="L137" s="771">
        <v>2022</v>
      </c>
      <c r="M137" s="8"/>
    </row>
    <row r="138" spans="1:13" ht="26.45" hidden="1" outlineLevel="1">
      <c r="A138" s="771">
        <v>1</v>
      </c>
      <c r="B138" s="327" t="e">
        <f>'1. Detailed Budget POA'!#REF!</f>
        <v>#REF!</v>
      </c>
      <c r="C138" s="771" t="s">
        <v>303</v>
      </c>
      <c r="D138" s="771" t="s">
        <v>304</v>
      </c>
      <c r="E138" s="328" t="e">
        <f>'1. Detailed Budget POA'!#REF!</f>
        <v>#REF!</v>
      </c>
      <c r="F138" s="8"/>
      <c r="G138" s="328" t="e">
        <f t="shared" si="3"/>
        <v>#REF!</v>
      </c>
      <c r="H138" s="771">
        <v>1.4</v>
      </c>
      <c r="I138" s="771" t="s">
        <v>305</v>
      </c>
      <c r="J138" s="771" t="s">
        <v>308</v>
      </c>
      <c r="K138" s="771">
        <v>2021</v>
      </c>
      <c r="L138" s="771">
        <v>2022</v>
      </c>
      <c r="M138" s="8"/>
    </row>
    <row r="139" spans="1:13" ht="26.45" hidden="1" outlineLevel="1">
      <c r="A139" s="771">
        <v>1</v>
      </c>
      <c r="B139" s="327" t="e">
        <f>'1. Detailed Budget POA'!#REF!</f>
        <v>#REF!</v>
      </c>
      <c r="C139" s="771" t="s">
        <v>303</v>
      </c>
      <c r="D139" s="771" t="s">
        <v>304</v>
      </c>
      <c r="E139" s="328" t="e">
        <f>'1. Detailed Budget POA'!#REF!</f>
        <v>#REF!</v>
      </c>
      <c r="F139" s="8"/>
      <c r="G139" s="328" t="e">
        <f t="shared" si="3"/>
        <v>#REF!</v>
      </c>
      <c r="H139" s="771">
        <v>1.4</v>
      </c>
      <c r="I139" s="771" t="s">
        <v>305</v>
      </c>
      <c r="J139" s="771" t="s">
        <v>308</v>
      </c>
      <c r="K139" s="771">
        <v>2021</v>
      </c>
      <c r="L139" s="771">
        <v>2022</v>
      </c>
      <c r="M139" s="8"/>
    </row>
    <row r="140" spans="1:13" ht="26.45" hidden="1" outlineLevel="1">
      <c r="A140" s="771">
        <v>1</v>
      </c>
      <c r="B140" s="327">
        <f>'1. Detailed Budget POA'!O37</f>
        <v>0</v>
      </c>
      <c r="C140" s="771" t="s">
        <v>303</v>
      </c>
      <c r="D140" s="771" t="s">
        <v>304</v>
      </c>
      <c r="E140" s="328">
        <f>'1. Detailed Budget POA'!R37</f>
        <v>0</v>
      </c>
      <c r="F140" s="8"/>
      <c r="G140" s="328">
        <f t="shared" si="3"/>
        <v>0</v>
      </c>
      <c r="H140" s="771">
        <v>1.4</v>
      </c>
      <c r="I140" s="771" t="s">
        <v>305</v>
      </c>
      <c r="J140" s="771" t="s">
        <v>308</v>
      </c>
      <c r="K140" s="771">
        <v>2021</v>
      </c>
      <c r="L140" s="771">
        <v>2022</v>
      </c>
      <c r="M140" s="8"/>
    </row>
    <row r="141" spans="1:13" ht="26.45" hidden="1" outlineLevel="1">
      <c r="A141" s="771">
        <v>1</v>
      </c>
      <c r="B141" s="327">
        <f>'1. Detailed Budget POA'!O38</f>
        <v>0</v>
      </c>
      <c r="C141" s="771" t="s">
        <v>303</v>
      </c>
      <c r="D141" s="771" t="s">
        <v>304</v>
      </c>
      <c r="E141" s="328">
        <f>'1. Detailed Budget POA'!R38</f>
        <v>0</v>
      </c>
      <c r="F141" s="8"/>
      <c r="G141" s="328">
        <f t="shared" si="3"/>
        <v>0</v>
      </c>
      <c r="H141" s="771">
        <v>1.4</v>
      </c>
      <c r="I141" s="771" t="s">
        <v>305</v>
      </c>
      <c r="J141" s="771" t="s">
        <v>308</v>
      </c>
      <c r="K141" s="771">
        <v>2021</v>
      </c>
      <c r="L141" s="771">
        <v>2022</v>
      </c>
      <c r="M141" s="8"/>
    </row>
    <row r="142" spans="1:13" ht="26.45" hidden="1" outlineLevel="1">
      <c r="A142" s="771">
        <v>1</v>
      </c>
      <c r="B142" s="327" t="e">
        <f>'1. Detailed Budget POA'!#REF!</f>
        <v>#REF!</v>
      </c>
      <c r="C142" s="771" t="s">
        <v>303</v>
      </c>
      <c r="D142" s="771" t="s">
        <v>304</v>
      </c>
      <c r="E142" s="328" t="e">
        <f>'1. Detailed Budget POA'!#REF!</f>
        <v>#REF!</v>
      </c>
      <c r="F142" s="8"/>
      <c r="G142" s="328" t="e">
        <f t="shared" si="3"/>
        <v>#REF!</v>
      </c>
      <c r="H142" s="771">
        <v>1.4</v>
      </c>
      <c r="I142" s="771" t="s">
        <v>305</v>
      </c>
      <c r="J142" s="771" t="s">
        <v>308</v>
      </c>
      <c r="K142" s="771">
        <v>2021</v>
      </c>
      <c r="L142" s="771">
        <v>2022</v>
      </c>
      <c r="M142" s="8"/>
    </row>
    <row r="143" spans="1:13" ht="26.45" hidden="1" outlineLevel="1">
      <c r="A143" s="771">
        <v>1</v>
      </c>
      <c r="B143" s="327" t="e">
        <f>'1. Detailed Budget POA'!#REF!</f>
        <v>#REF!</v>
      </c>
      <c r="C143" s="771" t="s">
        <v>303</v>
      </c>
      <c r="D143" s="771" t="s">
        <v>304</v>
      </c>
      <c r="E143" s="328" t="e">
        <f>'1. Detailed Budget POA'!#REF!</f>
        <v>#REF!</v>
      </c>
      <c r="F143" s="8"/>
      <c r="G143" s="328" t="e">
        <f t="shared" si="3"/>
        <v>#REF!</v>
      </c>
      <c r="H143" s="771">
        <v>1.4</v>
      </c>
      <c r="I143" s="771" t="s">
        <v>305</v>
      </c>
      <c r="J143" s="771" t="s">
        <v>308</v>
      </c>
      <c r="K143" s="771">
        <v>2021</v>
      </c>
      <c r="L143" s="771">
        <v>2022</v>
      </c>
      <c r="M143" s="8"/>
    </row>
    <row r="144" spans="1:13" ht="26.45" hidden="1" outlineLevel="1">
      <c r="A144" s="771">
        <v>1</v>
      </c>
      <c r="B144" s="327" t="e">
        <f>'1. Detailed Budget POA'!#REF!</f>
        <v>#REF!</v>
      </c>
      <c r="C144" s="771" t="s">
        <v>303</v>
      </c>
      <c r="D144" s="771" t="s">
        <v>304</v>
      </c>
      <c r="E144" s="328" t="e">
        <f>'1. Detailed Budget POA'!#REF!</f>
        <v>#REF!</v>
      </c>
      <c r="F144" s="8"/>
      <c r="G144" s="328" t="e">
        <f t="shared" si="3"/>
        <v>#REF!</v>
      </c>
      <c r="H144" s="771">
        <v>1.4</v>
      </c>
      <c r="I144" s="771" t="s">
        <v>305</v>
      </c>
      <c r="J144" s="771" t="s">
        <v>308</v>
      </c>
      <c r="K144" s="771">
        <v>2021</v>
      </c>
      <c r="L144" s="771">
        <v>2022</v>
      </c>
      <c r="M144" s="8"/>
    </row>
    <row r="145" spans="1:13" ht="26.45" hidden="1" outlineLevel="1">
      <c r="A145" s="771">
        <v>1</v>
      </c>
      <c r="B145" s="327" t="e">
        <f>'1. Detailed Budget POA'!#REF!</f>
        <v>#REF!</v>
      </c>
      <c r="C145" s="771" t="s">
        <v>303</v>
      </c>
      <c r="D145" s="771" t="s">
        <v>304</v>
      </c>
      <c r="E145" s="328" t="e">
        <f>'1. Detailed Budget POA'!#REF!</f>
        <v>#REF!</v>
      </c>
      <c r="F145" s="8"/>
      <c r="G145" s="328" t="e">
        <f t="shared" si="3"/>
        <v>#REF!</v>
      </c>
      <c r="H145" s="771">
        <v>1.4</v>
      </c>
      <c r="I145" s="771" t="s">
        <v>305</v>
      </c>
      <c r="J145" s="771" t="s">
        <v>308</v>
      </c>
      <c r="K145" s="771">
        <v>2021</v>
      </c>
      <c r="L145" s="771">
        <v>2022</v>
      </c>
      <c r="M145" s="8"/>
    </row>
    <row r="146" spans="1:13" ht="26.45" hidden="1" outlineLevel="1">
      <c r="A146" s="771">
        <v>1</v>
      </c>
      <c r="B146" s="327" t="e">
        <f>'1. Detailed Budget POA'!#REF!</f>
        <v>#REF!</v>
      </c>
      <c r="C146" s="771" t="s">
        <v>303</v>
      </c>
      <c r="D146" s="771" t="s">
        <v>304</v>
      </c>
      <c r="E146" s="328" t="e">
        <f>'1. Detailed Budget POA'!#REF!</f>
        <v>#REF!</v>
      </c>
      <c r="F146" s="8"/>
      <c r="G146" s="328" t="e">
        <f t="shared" si="3"/>
        <v>#REF!</v>
      </c>
      <c r="H146" s="771">
        <v>1.4</v>
      </c>
      <c r="I146" s="771" t="s">
        <v>305</v>
      </c>
      <c r="J146" s="771" t="s">
        <v>308</v>
      </c>
      <c r="K146" s="771">
        <v>2021</v>
      </c>
      <c r="L146" s="771">
        <v>2022</v>
      </c>
      <c r="M146" s="8"/>
    </row>
    <row r="147" spans="1:13" ht="26.45" hidden="1" outlineLevel="1">
      <c r="A147" s="771">
        <v>1</v>
      </c>
      <c r="B147" s="327" t="e">
        <f>'1. Detailed Budget POA'!#REF!</f>
        <v>#REF!</v>
      </c>
      <c r="C147" s="771" t="s">
        <v>303</v>
      </c>
      <c r="D147" s="771" t="s">
        <v>304</v>
      </c>
      <c r="E147" s="328" t="e">
        <f>'1. Detailed Budget POA'!#REF!</f>
        <v>#REF!</v>
      </c>
      <c r="F147" s="8"/>
      <c r="G147" s="328" t="e">
        <f t="shared" si="3"/>
        <v>#REF!</v>
      </c>
      <c r="H147" s="771">
        <v>1.4</v>
      </c>
      <c r="I147" s="771" t="s">
        <v>305</v>
      </c>
      <c r="J147" s="771" t="s">
        <v>308</v>
      </c>
      <c r="K147" s="771">
        <v>2021</v>
      </c>
      <c r="L147" s="771">
        <v>2022</v>
      </c>
      <c r="M147" s="8"/>
    </row>
    <row r="148" spans="1:13" ht="26.45" hidden="1" outlineLevel="1">
      <c r="A148" s="771">
        <v>1</v>
      </c>
      <c r="B148" s="327" t="e">
        <f>'1. Detailed Budget POA'!#REF!</f>
        <v>#REF!</v>
      </c>
      <c r="C148" s="771" t="s">
        <v>303</v>
      </c>
      <c r="D148" s="771" t="s">
        <v>304</v>
      </c>
      <c r="E148" s="328" t="e">
        <f>'1. Detailed Budget POA'!#REF!</f>
        <v>#REF!</v>
      </c>
      <c r="F148" s="8"/>
      <c r="G148" s="328" t="e">
        <f t="shared" si="3"/>
        <v>#REF!</v>
      </c>
      <c r="H148" s="771">
        <v>1.4</v>
      </c>
      <c r="I148" s="771" t="s">
        <v>305</v>
      </c>
      <c r="J148" s="771" t="s">
        <v>308</v>
      </c>
      <c r="K148" s="771">
        <v>2021</v>
      </c>
      <c r="L148" s="771">
        <v>2022</v>
      </c>
      <c r="M148" s="8"/>
    </row>
    <row r="149" spans="1:13" ht="26.45" hidden="1" outlineLevel="1">
      <c r="A149" s="771">
        <v>1</v>
      </c>
      <c r="B149" s="327" t="e">
        <f>'1. Detailed Budget POA'!#REF!</f>
        <v>#REF!</v>
      </c>
      <c r="C149" s="771" t="s">
        <v>303</v>
      </c>
      <c r="D149" s="771" t="s">
        <v>304</v>
      </c>
      <c r="E149" s="328" t="e">
        <f>'1. Detailed Budget POA'!#REF!</f>
        <v>#REF!</v>
      </c>
      <c r="F149" s="8"/>
      <c r="G149" s="328" t="e">
        <f t="shared" si="3"/>
        <v>#REF!</v>
      </c>
      <c r="H149" s="771">
        <v>1.4</v>
      </c>
      <c r="I149" s="771" t="s">
        <v>305</v>
      </c>
      <c r="J149" s="771" t="s">
        <v>308</v>
      </c>
      <c r="K149" s="771">
        <v>2021</v>
      </c>
      <c r="L149" s="771">
        <v>2022</v>
      </c>
      <c r="M149" s="8"/>
    </row>
    <row r="150" spans="1:13" ht="26.45" hidden="1" outlineLevel="1">
      <c r="A150" s="771">
        <v>1</v>
      </c>
      <c r="B150" s="327" t="e">
        <f>'1. Detailed Budget POA'!#REF!</f>
        <v>#REF!</v>
      </c>
      <c r="C150" s="771" t="s">
        <v>303</v>
      </c>
      <c r="D150" s="771" t="s">
        <v>304</v>
      </c>
      <c r="E150" s="328" t="e">
        <f>'1. Detailed Budget POA'!#REF!</f>
        <v>#REF!</v>
      </c>
      <c r="F150" s="8"/>
      <c r="G150" s="328" t="e">
        <f t="shared" si="3"/>
        <v>#REF!</v>
      </c>
      <c r="H150" s="771">
        <v>1.4</v>
      </c>
      <c r="I150" s="771" t="s">
        <v>305</v>
      </c>
      <c r="J150" s="771" t="s">
        <v>308</v>
      </c>
      <c r="K150" s="771">
        <v>2021</v>
      </c>
      <c r="L150" s="771">
        <v>2022</v>
      </c>
      <c r="M150" s="8"/>
    </row>
    <row r="151" spans="1:13" ht="26.45" collapsed="1">
      <c r="A151" s="771">
        <v>3</v>
      </c>
      <c r="B151" s="327">
        <f>'1. Detailed Budget POA'!O39</f>
        <v>0</v>
      </c>
      <c r="C151" s="771" t="s">
        <v>303</v>
      </c>
      <c r="D151" s="771" t="s">
        <v>304</v>
      </c>
      <c r="E151" s="328">
        <f>'1. Detailed Budget POA'!R39</f>
        <v>0</v>
      </c>
      <c r="F151" s="8"/>
      <c r="G151" s="328">
        <f t="shared" si="3"/>
        <v>0</v>
      </c>
      <c r="H151" s="771">
        <v>1.4</v>
      </c>
      <c r="I151" s="771" t="s">
        <v>305</v>
      </c>
      <c r="J151" s="771" t="s">
        <v>308</v>
      </c>
      <c r="K151" s="771">
        <v>2021</v>
      </c>
      <c r="L151" s="771">
        <v>2022</v>
      </c>
      <c r="M151" s="8"/>
    </row>
    <row r="152" spans="1:13" ht="26.45">
      <c r="A152" s="771">
        <v>4</v>
      </c>
      <c r="B152" s="327">
        <f>'1. Detailed Budget POA'!O40</f>
        <v>0</v>
      </c>
      <c r="C152" s="771" t="s">
        <v>303</v>
      </c>
      <c r="D152" s="771" t="s">
        <v>304</v>
      </c>
      <c r="E152" s="328">
        <f>'1. Detailed Budget POA'!R40</f>
        <v>0</v>
      </c>
      <c r="F152" s="8"/>
      <c r="G152" s="328">
        <f t="shared" si="3"/>
        <v>0</v>
      </c>
      <c r="H152" s="771">
        <v>1.4</v>
      </c>
      <c r="I152" s="771" t="s">
        <v>305</v>
      </c>
      <c r="J152" s="771" t="s">
        <v>308</v>
      </c>
      <c r="K152" s="771">
        <v>2021</v>
      </c>
      <c r="L152" s="771">
        <v>2022</v>
      </c>
      <c r="M152" s="8"/>
    </row>
    <row r="153" spans="1:13" ht="26.45" hidden="1" outlineLevel="1">
      <c r="A153" s="771"/>
      <c r="B153" s="327">
        <f>'1. Detailed Budget POA'!O41</f>
        <v>0</v>
      </c>
      <c r="C153" s="771" t="s">
        <v>303</v>
      </c>
      <c r="D153" s="771" t="s">
        <v>304</v>
      </c>
      <c r="E153" s="328">
        <f>'1. Detailed Budget POA'!R41</f>
        <v>0</v>
      </c>
      <c r="F153" s="8"/>
      <c r="G153" s="328">
        <f>SUM(E153:F153)</f>
        <v>0</v>
      </c>
      <c r="H153" s="771">
        <v>1.4</v>
      </c>
      <c r="I153" s="771" t="s">
        <v>305</v>
      </c>
      <c r="J153" s="771" t="s">
        <v>308</v>
      </c>
      <c r="K153" s="771"/>
      <c r="L153" s="771"/>
      <c r="M153" s="8"/>
    </row>
    <row r="154" spans="1:13" ht="26.45" hidden="1" outlineLevel="1">
      <c r="A154" s="771">
        <v>1</v>
      </c>
      <c r="B154" s="327">
        <f>'1. Detailed Budget POA'!O42</f>
        <v>0</v>
      </c>
      <c r="C154" s="771" t="s">
        <v>303</v>
      </c>
      <c r="D154" s="771" t="s">
        <v>304</v>
      </c>
      <c r="E154" s="328">
        <f>'1. Detailed Budget POA'!R42</f>
        <v>0</v>
      </c>
      <c r="F154" s="8"/>
      <c r="G154" s="328">
        <f t="shared" si="3"/>
        <v>0</v>
      </c>
      <c r="H154" s="771">
        <v>1.4</v>
      </c>
      <c r="I154" s="771" t="s">
        <v>305</v>
      </c>
      <c r="J154" s="771" t="s">
        <v>308</v>
      </c>
      <c r="K154" s="771">
        <v>2021</v>
      </c>
      <c r="L154" s="771">
        <v>2022</v>
      </c>
      <c r="M154" s="8"/>
    </row>
    <row r="155" spans="1:13" ht="26.45" hidden="1" outlineLevel="1">
      <c r="A155" s="771">
        <v>1</v>
      </c>
      <c r="B155" s="327">
        <f>'1. Detailed Budget POA'!O43</f>
        <v>0</v>
      </c>
      <c r="C155" s="771" t="s">
        <v>303</v>
      </c>
      <c r="D155" s="771" t="s">
        <v>304</v>
      </c>
      <c r="E155" s="328">
        <f>'1. Detailed Budget POA'!R43</f>
        <v>0</v>
      </c>
      <c r="F155" s="8"/>
      <c r="G155" s="328">
        <f t="shared" si="3"/>
        <v>0</v>
      </c>
      <c r="H155" s="771">
        <v>1.4</v>
      </c>
      <c r="I155" s="771" t="s">
        <v>305</v>
      </c>
      <c r="J155" s="771" t="s">
        <v>308</v>
      </c>
      <c r="K155" s="771">
        <v>2021</v>
      </c>
      <c r="L155" s="771">
        <v>2022</v>
      </c>
      <c r="M155" s="8"/>
    </row>
    <row r="156" spans="1:13" ht="26.45" hidden="1" outlineLevel="1">
      <c r="A156" s="771">
        <v>1</v>
      </c>
      <c r="B156" s="327">
        <f>'1. Detailed Budget POA'!O44</f>
        <v>0</v>
      </c>
      <c r="C156" s="771" t="s">
        <v>303</v>
      </c>
      <c r="D156" s="771" t="s">
        <v>304</v>
      </c>
      <c r="E156" s="328">
        <f>'1. Detailed Budget POA'!R44</f>
        <v>0</v>
      </c>
      <c r="F156" s="8"/>
      <c r="G156" s="328">
        <f t="shared" si="3"/>
        <v>0</v>
      </c>
      <c r="H156" s="771">
        <v>1.4</v>
      </c>
      <c r="I156" s="771" t="s">
        <v>305</v>
      </c>
      <c r="J156" s="771" t="s">
        <v>308</v>
      </c>
      <c r="K156" s="771">
        <v>2021</v>
      </c>
      <c r="L156" s="771">
        <v>2022</v>
      </c>
      <c r="M156" s="8"/>
    </row>
    <row r="157" spans="1:13" ht="26.45" hidden="1" outlineLevel="1">
      <c r="A157" s="771">
        <v>1</v>
      </c>
      <c r="B157" s="327" t="e">
        <f>'1. Detailed Budget POA'!#REF!</f>
        <v>#REF!</v>
      </c>
      <c r="C157" s="771" t="s">
        <v>303</v>
      </c>
      <c r="D157" s="771" t="s">
        <v>304</v>
      </c>
      <c r="E157" s="328" t="e">
        <f>'1. Detailed Budget POA'!#REF!</f>
        <v>#REF!</v>
      </c>
      <c r="F157" s="8"/>
      <c r="G157" s="328" t="e">
        <f t="shared" si="3"/>
        <v>#REF!</v>
      </c>
      <c r="H157" s="771">
        <v>1.4</v>
      </c>
      <c r="I157" s="771" t="s">
        <v>305</v>
      </c>
      <c r="J157" s="771" t="s">
        <v>308</v>
      </c>
      <c r="K157" s="771">
        <v>2021</v>
      </c>
      <c r="L157" s="771">
        <v>2022</v>
      </c>
      <c r="M157" s="8"/>
    </row>
    <row r="158" spans="1:13" ht="26.45" hidden="1" outlineLevel="1">
      <c r="A158" s="771">
        <v>1</v>
      </c>
      <c r="B158" s="327" t="e">
        <f>'1. Detailed Budget POA'!#REF!</f>
        <v>#REF!</v>
      </c>
      <c r="C158" s="771" t="s">
        <v>303</v>
      </c>
      <c r="D158" s="771" t="s">
        <v>304</v>
      </c>
      <c r="E158" s="328" t="e">
        <f>'1. Detailed Budget POA'!#REF!</f>
        <v>#REF!</v>
      </c>
      <c r="F158" s="8"/>
      <c r="G158" s="328" t="e">
        <f t="shared" si="3"/>
        <v>#REF!</v>
      </c>
      <c r="H158" s="771">
        <v>1.4</v>
      </c>
      <c r="I158" s="771" t="s">
        <v>305</v>
      </c>
      <c r="J158" s="771" t="s">
        <v>308</v>
      </c>
      <c r="K158" s="771">
        <v>2021</v>
      </c>
      <c r="L158" s="771">
        <v>2022</v>
      </c>
      <c r="M158" s="8"/>
    </row>
    <row r="159" spans="1:13" ht="26.45" hidden="1" outlineLevel="1">
      <c r="A159" s="771">
        <v>1</v>
      </c>
      <c r="B159" s="327" t="e">
        <f>'1. Detailed Budget POA'!#REF!</f>
        <v>#REF!</v>
      </c>
      <c r="C159" s="771" t="s">
        <v>303</v>
      </c>
      <c r="D159" s="771" t="s">
        <v>304</v>
      </c>
      <c r="E159" s="328" t="e">
        <f>'1. Detailed Budget POA'!#REF!</f>
        <v>#REF!</v>
      </c>
      <c r="F159" s="8"/>
      <c r="G159" s="328" t="e">
        <f t="shared" si="3"/>
        <v>#REF!</v>
      </c>
      <c r="H159" s="771">
        <v>1.4</v>
      </c>
      <c r="I159" s="771" t="s">
        <v>305</v>
      </c>
      <c r="J159" s="771" t="s">
        <v>308</v>
      </c>
      <c r="K159" s="771">
        <v>2021</v>
      </c>
      <c r="L159" s="771">
        <v>2022</v>
      </c>
      <c r="M159" s="8"/>
    </row>
    <row r="160" spans="1:13" ht="26.45" hidden="1" outlineLevel="1">
      <c r="A160" s="771">
        <v>1</v>
      </c>
      <c r="B160" s="327" t="e">
        <f>'1. Detailed Budget POA'!#REF!</f>
        <v>#REF!</v>
      </c>
      <c r="C160" s="771" t="s">
        <v>303</v>
      </c>
      <c r="D160" s="771" t="s">
        <v>304</v>
      </c>
      <c r="E160" s="328" t="e">
        <f>'1. Detailed Budget POA'!#REF!</f>
        <v>#REF!</v>
      </c>
      <c r="F160" s="8"/>
      <c r="G160" s="328" t="e">
        <f t="shared" si="3"/>
        <v>#REF!</v>
      </c>
      <c r="H160" s="771">
        <v>1.4</v>
      </c>
      <c r="I160" s="771" t="s">
        <v>305</v>
      </c>
      <c r="J160" s="771" t="s">
        <v>308</v>
      </c>
      <c r="K160" s="771">
        <v>2021</v>
      </c>
      <c r="L160" s="771">
        <v>2022</v>
      </c>
      <c r="M160" s="8"/>
    </row>
    <row r="161" spans="1:13" ht="26.45" hidden="1" outlineLevel="1">
      <c r="A161" s="771">
        <v>1</v>
      </c>
      <c r="B161" s="327" t="e">
        <f>'1. Detailed Budget POA'!#REF!</f>
        <v>#REF!</v>
      </c>
      <c r="C161" s="771" t="s">
        <v>303</v>
      </c>
      <c r="D161" s="771" t="s">
        <v>304</v>
      </c>
      <c r="E161" s="328" t="e">
        <f>'1. Detailed Budget POA'!#REF!</f>
        <v>#REF!</v>
      </c>
      <c r="F161" s="8"/>
      <c r="G161" s="328" t="e">
        <f t="shared" si="3"/>
        <v>#REF!</v>
      </c>
      <c r="H161" s="771">
        <v>1.4</v>
      </c>
      <c r="I161" s="771" t="s">
        <v>305</v>
      </c>
      <c r="J161" s="771" t="s">
        <v>308</v>
      </c>
      <c r="K161" s="771">
        <v>2021</v>
      </c>
      <c r="L161" s="771">
        <v>2022</v>
      </c>
      <c r="M161" s="8"/>
    </row>
    <row r="162" spans="1:13" ht="26.45" hidden="1" outlineLevel="1">
      <c r="A162" s="771">
        <v>1</v>
      </c>
      <c r="B162" s="327" t="e">
        <f>'1. Detailed Budget POA'!#REF!</f>
        <v>#REF!</v>
      </c>
      <c r="C162" s="771" t="s">
        <v>303</v>
      </c>
      <c r="D162" s="771" t="s">
        <v>304</v>
      </c>
      <c r="E162" s="328" t="e">
        <f>'1. Detailed Budget POA'!#REF!</f>
        <v>#REF!</v>
      </c>
      <c r="F162" s="8"/>
      <c r="G162" s="328" t="e">
        <f t="shared" si="3"/>
        <v>#REF!</v>
      </c>
      <c r="H162" s="771">
        <v>1.4</v>
      </c>
      <c r="I162" s="771" t="s">
        <v>305</v>
      </c>
      <c r="J162" s="771" t="s">
        <v>308</v>
      </c>
      <c r="K162" s="771">
        <v>2021</v>
      </c>
      <c r="L162" s="771">
        <v>2022</v>
      </c>
      <c r="M162" s="8"/>
    </row>
    <row r="163" spans="1:13" ht="26.45" hidden="1" outlineLevel="1">
      <c r="A163" s="771">
        <v>1</v>
      </c>
      <c r="B163" s="327" t="e">
        <f>'1. Detailed Budget POA'!#REF!</f>
        <v>#REF!</v>
      </c>
      <c r="C163" s="771" t="s">
        <v>303</v>
      </c>
      <c r="D163" s="771" t="s">
        <v>304</v>
      </c>
      <c r="E163" s="328" t="e">
        <f>'1. Detailed Budget POA'!#REF!</f>
        <v>#REF!</v>
      </c>
      <c r="F163" s="8"/>
      <c r="G163" s="328" t="e">
        <f t="shared" si="3"/>
        <v>#REF!</v>
      </c>
      <c r="H163" s="771">
        <v>1.4</v>
      </c>
      <c r="I163" s="771" t="s">
        <v>305</v>
      </c>
      <c r="J163" s="771" t="s">
        <v>308</v>
      </c>
      <c r="K163" s="771">
        <v>2021</v>
      </c>
      <c r="L163" s="771">
        <v>2022</v>
      </c>
      <c r="M163" s="8"/>
    </row>
    <row r="164" spans="1:13" ht="26.45" hidden="1" outlineLevel="1">
      <c r="A164" s="771">
        <v>1</v>
      </c>
      <c r="B164" s="327" t="e">
        <f>'1. Detailed Budget POA'!#REF!</f>
        <v>#REF!</v>
      </c>
      <c r="C164" s="771" t="s">
        <v>303</v>
      </c>
      <c r="D164" s="771" t="s">
        <v>304</v>
      </c>
      <c r="E164" s="328" t="e">
        <f>'1. Detailed Budget POA'!#REF!</f>
        <v>#REF!</v>
      </c>
      <c r="F164" s="8"/>
      <c r="G164" s="328" t="e">
        <f t="shared" si="3"/>
        <v>#REF!</v>
      </c>
      <c r="H164" s="771">
        <v>1.4</v>
      </c>
      <c r="I164" s="771" t="s">
        <v>305</v>
      </c>
      <c r="J164" s="771" t="s">
        <v>308</v>
      </c>
      <c r="K164" s="771">
        <v>2021</v>
      </c>
      <c r="L164" s="771">
        <v>2022</v>
      </c>
      <c r="M164" s="8"/>
    </row>
    <row r="165" spans="1:13" ht="26.45" hidden="1" outlineLevel="1">
      <c r="A165" s="771">
        <v>1</v>
      </c>
      <c r="B165" s="327" t="e">
        <f>'1. Detailed Budget POA'!#REF!</f>
        <v>#REF!</v>
      </c>
      <c r="C165" s="771" t="s">
        <v>303</v>
      </c>
      <c r="D165" s="771" t="s">
        <v>304</v>
      </c>
      <c r="E165" s="328" t="e">
        <f>'1. Detailed Budget POA'!#REF!</f>
        <v>#REF!</v>
      </c>
      <c r="F165" s="8"/>
      <c r="G165" s="328" t="e">
        <f t="shared" si="3"/>
        <v>#REF!</v>
      </c>
      <c r="H165" s="771">
        <v>1.4</v>
      </c>
      <c r="I165" s="771" t="s">
        <v>305</v>
      </c>
      <c r="J165" s="771" t="s">
        <v>308</v>
      </c>
      <c r="K165" s="771">
        <v>2021</v>
      </c>
      <c r="L165" s="771">
        <v>2022</v>
      </c>
      <c r="M165" s="8"/>
    </row>
    <row r="166" spans="1:13" ht="26.45" hidden="1" outlineLevel="1">
      <c r="A166" s="771">
        <v>1</v>
      </c>
      <c r="B166" s="327" t="e">
        <f>'1. Detailed Budget POA'!#REF!</f>
        <v>#REF!</v>
      </c>
      <c r="C166" s="771" t="s">
        <v>303</v>
      </c>
      <c r="D166" s="771" t="s">
        <v>304</v>
      </c>
      <c r="E166" s="328" t="e">
        <f>'1. Detailed Budget POA'!#REF!</f>
        <v>#REF!</v>
      </c>
      <c r="F166" s="8"/>
      <c r="G166" s="328" t="e">
        <f t="shared" si="3"/>
        <v>#REF!</v>
      </c>
      <c r="H166" s="771">
        <v>1.4</v>
      </c>
      <c r="I166" s="771" t="s">
        <v>305</v>
      </c>
      <c r="J166" s="771" t="s">
        <v>308</v>
      </c>
      <c r="K166" s="771">
        <v>2021</v>
      </c>
      <c r="L166" s="771">
        <v>2022</v>
      </c>
      <c r="M166" s="8"/>
    </row>
    <row r="167" spans="1:13" ht="26.45" hidden="1" outlineLevel="1">
      <c r="A167" s="771">
        <v>1</v>
      </c>
      <c r="B167" s="327" t="e">
        <f>'1. Detailed Budget POA'!#REF!</f>
        <v>#REF!</v>
      </c>
      <c r="C167" s="771" t="s">
        <v>303</v>
      </c>
      <c r="D167" s="771" t="s">
        <v>304</v>
      </c>
      <c r="E167" s="328" t="e">
        <f>'1. Detailed Budget POA'!#REF!</f>
        <v>#REF!</v>
      </c>
      <c r="F167" s="8"/>
      <c r="G167" s="328" t="e">
        <f t="shared" si="3"/>
        <v>#REF!</v>
      </c>
      <c r="H167" s="771">
        <v>1.4</v>
      </c>
      <c r="I167" s="771" t="s">
        <v>305</v>
      </c>
      <c r="J167" s="771" t="s">
        <v>308</v>
      </c>
      <c r="K167" s="771">
        <v>2021</v>
      </c>
      <c r="L167" s="771">
        <v>2022</v>
      </c>
      <c r="M167" s="8"/>
    </row>
    <row r="168" spans="1:13" ht="26.45" hidden="1" outlineLevel="1">
      <c r="A168" s="771">
        <v>1</v>
      </c>
      <c r="B168" s="327" t="e">
        <f>'1. Detailed Budget POA'!#REF!</f>
        <v>#REF!</v>
      </c>
      <c r="C168" s="771" t="s">
        <v>303</v>
      </c>
      <c r="D168" s="771" t="s">
        <v>304</v>
      </c>
      <c r="E168" s="328" t="e">
        <f>'1. Detailed Budget POA'!#REF!</f>
        <v>#REF!</v>
      </c>
      <c r="F168" s="8"/>
      <c r="G168" s="328" t="e">
        <f t="shared" si="3"/>
        <v>#REF!</v>
      </c>
      <c r="H168" s="771">
        <v>1.4</v>
      </c>
      <c r="I168" s="771" t="s">
        <v>305</v>
      </c>
      <c r="J168" s="771" t="s">
        <v>308</v>
      </c>
      <c r="K168" s="771">
        <v>2021</v>
      </c>
      <c r="L168" s="771">
        <v>2022</v>
      </c>
      <c r="M168" s="8"/>
    </row>
    <row r="169" spans="1:13" ht="26.45" hidden="1" outlineLevel="1">
      <c r="A169" s="771">
        <v>1</v>
      </c>
      <c r="B169" s="327" t="e">
        <f>'1. Detailed Budget POA'!#REF!</f>
        <v>#REF!</v>
      </c>
      <c r="C169" s="771" t="s">
        <v>303</v>
      </c>
      <c r="D169" s="771" t="s">
        <v>304</v>
      </c>
      <c r="E169" s="328" t="e">
        <f>'1. Detailed Budget POA'!#REF!</f>
        <v>#REF!</v>
      </c>
      <c r="F169" s="8"/>
      <c r="G169" s="328" t="e">
        <f t="shared" si="3"/>
        <v>#REF!</v>
      </c>
      <c r="H169" s="771">
        <v>1.4</v>
      </c>
      <c r="I169" s="771" t="s">
        <v>305</v>
      </c>
      <c r="J169" s="771" t="s">
        <v>308</v>
      </c>
      <c r="K169" s="771">
        <v>2021</v>
      </c>
      <c r="L169" s="771">
        <v>2022</v>
      </c>
      <c r="M169" s="8"/>
    </row>
    <row r="170" spans="1:13" ht="26.45" hidden="1" outlineLevel="1">
      <c r="A170" s="771">
        <v>1</v>
      </c>
      <c r="B170" s="327" t="e">
        <f>'1. Detailed Budget POA'!#REF!</f>
        <v>#REF!</v>
      </c>
      <c r="C170" s="771" t="s">
        <v>303</v>
      </c>
      <c r="D170" s="771" t="s">
        <v>304</v>
      </c>
      <c r="E170" s="328" t="e">
        <f>'1. Detailed Budget POA'!#REF!</f>
        <v>#REF!</v>
      </c>
      <c r="F170" s="8"/>
      <c r="G170" s="328" t="e">
        <f t="shared" si="3"/>
        <v>#REF!</v>
      </c>
      <c r="H170" s="771">
        <v>1.4</v>
      </c>
      <c r="I170" s="771" t="s">
        <v>305</v>
      </c>
      <c r="J170" s="771" t="s">
        <v>308</v>
      </c>
      <c r="K170" s="771">
        <v>2021</v>
      </c>
      <c r="L170" s="771">
        <v>2022</v>
      </c>
      <c r="M170" s="8"/>
    </row>
    <row r="171" spans="1:13" ht="26.45" hidden="1" outlineLevel="1">
      <c r="A171" s="771">
        <v>1</v>
      </c>
      <c r="B171" s="327" t="e">
        <f>'1. Detailed Budget POA'!#REF!</f>
        <v>#REF!</v>
      </c>
      <c r="C171" s="771" t="s">
        <v>303</v>
      </c>
      <c r="D171" s="771" t="s">
        <v>304</v>
      </c>
      <c r="E171" s="328" t="e">
        <f>'1. Detailed Budget POA'!#REF!</f>
        <v>#REF!</v>
      </c>
      <c r="F171" s="8"/>
      <c r="G171" s="328" t="e">
        <f t="shared" si="3"/>
        <v>#REF!</v>
      </c>
      <c r="H171" s="771">
        <v>1.4</v>
      </c>
      <c r="I171" s="771" t="s">
        <v>305</v>
      </c>
      <c r="J171" s="771" t="s">
        <v>308</v>
      </c>
      <c r="K171" s="771">
        <v>2021</v>
      </c>
      <c r="L171" s="771">
        <v>2022</v>
      </c>
      <c r="M171" s="8"/>
    </row>
    <row r="172" spans="1:13" ht="26.45" hidden="1" outlineLevel="1">
      <c r="A172" s="771">
        <v>1</v>
      </c>
      <c r="B172" s="327" t="e">
        <f>'1. Detailed Budget POA'!#REF!</f>
        <v>#REF!</v>
      </c>
      <c r="C172" s="771" t="s">
        <v>303</v>
      </c>
      <c r="D172" s="771" t="s">
        <v>304</v>
      </c>
      <c r="E172" s="328" t="e">
        <f>'1. Detailed Budget POA'!#REF!</f>
        <v>#REF!</v>
      </c>
      <c r="F172" s="8"/>
      <c r="G172" s="328" t="e">
        <f t="shared" si="3"/>
        <v>#REF!</v>
      </c>
      <c r="H172" s="771">
        <v>1.4</v>
      </c>
      <c r="I172" s="771" t="s">
        <v>305</v>
      </c>
      <c r="J172" s="771" t="s">
        <v>308</v>
      </c>
      <c r="K172" s="771">
        <v>2021</v>
      </c>
      <c r="L172" s="771">
        <v>2022</v>
      </c>
      <c r="M172" s="8"/>
    </row>
    <row r="173" spans="1:13" ht="26.45" hidden="1" outlineLevel="1">
      <c r="A173" s="771">
        <v>1</v>
      </c>
      <c r="B173" s="327" t="e">
        <f>'1. Detailed Budget POA'!#REF!</f>
        <v>#REF!</v>
      </c>
      <c r="C173" s="771" t="s">
        <v>303</v>
      </c>
      <c r="D173" s="771" t="s">
        <v>304</v>
      </c>
      <c r="E173" s="328" t="e">
        <f>'1. Detailed Budget POA'!#REF!</f>
        <v>#REF!</v>
      </c>
      <c r="F173" s="8"/>
      <c r="G173" s="328" t="e">
        <f t="shared" si="3"/>
        <v>#REF!</v>
      </c>
      <c r="H173" s="771">
        <v>1.4</v>
      </c>
      <c r="I173" s="771" t="s">
        <v>305</v>
      </c>
      <c r="J173" s="771" t="s">
        <v>308</v>
      </c>
      <c r="K173" s="771">
        <v>2021</v>
      </c>
      <c r="L173" s="771">
        <v>2022</v>
      </c>
      <c r="M173" s="8"/>
    </row>
    <row r="174" spans="1:13" ht="26.45" hidden="1" outlineLevel="1">
      <c r="A174" s="771">
        <v>1</v>
      </c>
      <c r="B174" s="327" t="e">
        <f>'1. Detailed Budget POA'!#REF!</f>
        <v>#REF!</v>
      </c>
      <c r="C174" s="771" t="s">
        <v>303</v>
      </c>
      <c r="D174" s="771" t="s">
        <v>304</v>
      </c>
      <c r="E174" s="328" t="e">
        <f>'1. Detailed Budget POA'!#REF!</f>
        <v>#REF!</v>
      </c>
      <c r="F174" s="8"/>
      <c r="G174" s="328" t="e">
        <f t="shared" si="3"/>
        <v>#REF!</v>
      </c>
      <c r="H174" s="771">
        <v>1.4</v>
      </c>
      <c r="I174" s="771" t="s">
        <v>305</v>
      </c>
      <c r="J174" s="771" t="s">
        <v>308</v>
      </c>
      <c r="K174" s="771">
        <v>2021</v>
      </c>
      <c r="L174" s="771">
        <v>2022</v>
      </c>
      <c r="M174" s="8"/>
    </row>
    <row r="175" spans="1:13" ht="26.45" hidden="1" outlineLevel="1">
      <c r="A175" s="771">
        <v>1</v>
      </c>
      <c r="B175" s="327" t="e">
        <f>'1. Detailed Budget POA'!#REF!</f>
        <v>#REF!</v>
      </c>
      <c r="C175" s="771" t="s">
        <v>303</v>
      </c>
      <c r="D175" s="771" t="s">
        <v>304</v>
      </c>
      <c r="E175" s="328" t="e">
        <f>'1. Detailed Budget POA'!#REF!</f>
        <v>#REF!</v>
      </c>
      <c r="F175" s="8"/>
      <c r="G175" s="328" t="e">
        <f t="shared" ref="G175:G216" si="4">SUM(E175:F175)</f>
        <v>#REF!</v>
      </c>
      <c r="H175" s="771">
        <v>1.4</v>
      </c>
      <c r="I175" s="771" t="s">
        <v>305</v>
      </c>
      <c r="J175" s="771" t="s">
        <v>308</v>
      </c>
      <c r="K175" s="771">
        <v>2021</v>
      </c>
      <c r="L175" s="771">
        <v>2022</v>
      </c>
      <c r="M175" s="8"/>
    </row>
    <row r="176" spans="1:13" ht="26.45" hidden="1" outlineLevel="1">
      <c r="A176" s="771">
        <v>1</v>
      </c>
      <c r="B176" s="327" t="e">
        <f>'1. Detailed Budget POA'!#REF!</f>
        <v>#REF!</v>
      </c>
      <c r="C176" s="771" t="s">
        <v>303</v>
      </c>
      <c r="D176" s="771" t="s">
        <v>304</v>
      </c>
      <c r="E176" s="328" t="e">
        <f>'1. Detailed Budget POA'!#REF!</f>
        <v>#REF!</v>
      </c>
      <c r="F176" s="8"/>
      <c r="G176" s="328" t="e">
        <f t="shared" si="4"/>
        <v>#REF!</v>
      </c>
      <c r="H176" s="771">
        <v>1.4</v>
      </c>
      <c r="I176" s="771" t="s">
        <v>305</v>
      </c>
      <c r="J176" s="771" t="s">
        <v>308</v>
      </c>
      <c r="K176" s="771">
        <v>2021</v>
      </c>
      <c r="L176" s="771">
        <v>2022</v>
      </c>
      <c r="M176" s="8"/>
    </row>
    <row r="177" spans="1:13" ht="26.45" collapsed="1">
      <c r="A177" s="771">
        <v>5</v>
      </c>
      <c r="B177" s="327" t="e">
        <f>'1. Detailed Budget POA'!#REF!</f>
        <v>#REF!</v>
      </c>
      <c r="C177" s="771" t="s">
        <v>303</v>
      </c>
      <c r="D177" s="771" t="s">
        <v>304</v>
      </c>
      <c r="E177" s="328" t="e">
        <f>'1. Detailed Budget POA'!#REF!</f>
        <v>#REF!</v>
      </c>
      <c r="F177" s="8"/>
      <c r="G177" s="328" t="e">
        <f t="shared" si="4"/>
        <v>#REF!</v>
      </c>
      <c r="H177" s="771">
        <v>2.2000000000000002</v>
      </c>
      <c r="I177" s="771" t="s">
        <v>305</v>
      </c>
      <c r="J177" s="771" t="s">
        <v>308</v>
      </c>
      <c r="K177" s="771">
        <v>2023</v>
      </c>
      <c r="L177" s="771">
        <v>2023</v>
      </c>
      <c r="M177" s="8"/>
    </row>
    <row r="178" spans="1:13" ht="26.45">
      <c r="A178" s="771">
        <v>6</v>
      </c>
      <c r="B178" s="327" t="e">
        <f>'1. Detailed Budget POA'!#REF!</f>
        <v>#REF!</v>
      </c>
      <c r="C178" s="771" t="s">
        <v>303</v>
      </c>
      <c r="D178" s="771" t="s">
        <v>304</v>
      </c>
      <c r="E178" s="328" t="e">
        <f>'1. Detailed Budget POA'!#REF!</f>
        <v>#REF!</v>
      </c>
      <c r="F178" s="8"/>
      <c r="G178" s="328" t="e">
        <f t="shared" si="4"/>
        <v>#REF!</v>
      </c>
      <c r="H178" s="771">
        <v>1.1000000000000001</v>
      </c>
      <c r="I178" s="771" t="s">
        <v>305</v>
      </c>
      <c r="J178" s="771" t="s">
        <v>308</v>
      </c>
      <c r="K178" s="771"/>
      <c r="L178" s="771"/>
      <c r="M178" s="8"/>
    </row>
    <row r="179" spans="1:13" ht="26.45" hidden="1" outlineLevel="1">
      <c r="A179" s="771">
        <v>1</v>
      </c>
      <c r="B179" s="327" t="e">
        <f>'1. Detailed Budget POA'!#REF!</f>
        <v>#REF!</v>
      </c>
      <c r="C179" s="771" t="s">
        <v>303</v>
      </c>
      <c r="D179" s="771" t="s">
        <v>304</v>
      </c>
      <c r="E179" s="328" t="e">
        <f>'1. Detailed Budget POA'!#REF!</f>
        <v>#REF!</v>
      </c>
      <c r="F179" s="8"/>
      <c r="G179" s="328" t="e">
        <f t="shared" si="4"/>
        <v>#REF!</v>
      </c>
      <c r="H179" s="771">
        <v>1.1000000000000001</v>
      </c>
      <c r="I179" s="771" t="s">
        <v>305</v>
      </c>
      <c r="J179" s="771" t="s">
        <v>308</v>
      </c>
      <c r="K179" s="771"/>
      <c r="L179" s="771"/>
      <c r="M179" s="8"/>
    </row>
    <row r="180" spans="1:13" ht="26.45" hidden="1" outlineLevel="1">
      <c r="A180" s="771">
        <v>1</v>
      </c>
      <c r="B180" s="327" t="e">
        <f>'1. Detailed Budget POA'!#REF!</f>
        <v>#REF!</v>
      </c>
      <c r="C180" s="771" t="s">
        <v>303</v>
      </c>
      <c r="D180" s="771" t="s">
        <v>304</v>
      </c>
      <c r="E180" s="328" t="e">
        <f>'1. Detailed Budget POA'!#REF!</f>
        <v>#REF!</v>
      </c>
      <c r="F180" s="8"/>
      <c r="G180" s="328" t="e">
        <f t="shared" si="4"/>
        <v>#REF!</v>
      </c>
      <c r="H180" s="771">
        <v>1.1000000000000001</v>
      </c>
      <c r="I180" s="771" t="s">
        <v>305</v>
      </c>
      <c r="J180" s="771" t="s">
        <v>308</v>
      </c>
      <c r="K180" s="771"/>
      <c r="L180" s="771"/>
      <c r="M180" s="8"/>
    </row>
    <row r="181" spans="1:13" ht="26.45" hidden="1" outlineLevel="1">
      <c r="A181" s="771">
        <v>1</v>
      </c>
      <c r="B181" s="327" t="e">
        <f>'1. Detailed Budget POA'!#REF!</f>
        <v>#REF!</v>
      </c>
      <c r="C181" s="771" t="s">
        <v>303</v>
      </c>
      <c r="D181" s="771" t="s">
        <v>304</v>
      </c>
      <c r="E181" s="328" t="e">
        <f>'1. Detailed Budget POA'!#REF!</f>
        <v>#REF!</v>
      </c>
      <c r="F181" s="8"/>
      <c r="G181" s="328" t="e">
        <f t="shared" si="4"/>
        <v>#REF!</v>
      </c>
      <c r="H181" s="771">
        <v>1.1000000000000001</v>
      </c>
      <c r="I181" s="771" t="s">
        <v>305</v>
      </c>
      <c r="J181" s="771" t="s">
        <v>308</v>
      </c>
      <c r="K181" s="771"/>
      <c r="L181" s="771"/>
      <c r="M181" s="8"/>
    </row>
    <row r="182" spans="1:13" ht="26.45" hidden="1" outlineLevel="1">
      <c r="A182" s="771">
        <v>1</v>
      </c>
      <c r="B182" s="327" t="e">
        <f>'1. Detailed Budget POA'!#REF!</f>
        <v>#REF!</v>
      </c>
      <c r="C182" s="771" t="s">
        <v>303</v>
      </c>
      <c r="D182" s="771" t="s">
        <v>304</v>
      </c>
      <c r="E182" s="328" t="e">
        <f>'1. Detailed Budget POA'!#REF!</f>
        <v>#REF!</v>
      </c>
      <c r="F182" s="8"/>
      <c r="G182" s="328" t="e">
        <f t="shared" si="4"/>
        <v>#REF!</v>
      </c>
      <c r="H182" s="771">
        <v>1.1000000000000001</v>
      </c>
      <c r="I182" s="771" t="s">
        <v>305</v>
      </c>
      <c r="J182" s="771" t="s">
        <v>308</v>
      </c>
      <c r="K182" s="771"/>
      <c r="L182" s="771"/>
      <c r="M182" s="8"/>
    </row>
    <row r="183" spans="1:13" ht="26.45" hidden="1" outlineLevel="1">
      <c r="A183" s="771">
        <v>1</v>
      </c>
      <c r="B183" s="327" t="e">
        <f>'1. Detailed Budget POA'!#REF!</f>
        <v>#REF!</v>
      </c>
      <c r="C183" s="771" t="s">
        <v>303</v>
      </c>
      <c r="D183" s="771" t="s">
        <v>304</v>
      </c>
      <c r="E183" s="328" t="e">
        <f>'1. Detailed Budget POA'!#REF!</f>
        <v>#REF!</v>
      </c>
      <c r="F183" s="8"/>
      <c r="G183" s="328" t="e">
        <f t="shared" si="4"/>
        <v>#REF!</v>
      </c>
      <c r="H183" s="771">
        <v>1.1000000000000001</v>
      </c>
      <c r="I183" s="771" t="s">
        <v>305</v>
      </c>
      <c r="J183" s="771" t="s">
        <v>308</v>
      </c>
      <c r="K183" s="771"/>
      <c r="L183" s="771"/>
      <c r="M183" s="8"/>
    </row>
    <row r="184" spans="1:13" ht="26.45" hidden="1" outlineLevel="1">
      <c r="A184" s="771">
        <v>1</v>
      </c>
      <c r="B184" s="327" t="e">
        <f>'1. Detailed Budget POA'!#REF!</f>
        <v>#REF!</v>
      </c>
      <c r="C184" s="771" t="s">
        <v>303</v>
      </c>
      <c r="D184" s="771" t="s">
        <v>304</v>
      </c>
      <c r="E184" s="328" t="e">
        <f>'1. Detailed Budget POA'!#REF!</f>
        <v>#REF!</v>
      </c>
      <c r="F184" s="8"/>
      <c r="G184" s="328" t="e">
        <f t="shared" si="4"/>
        <v>#REF!</v>
      </c>
      <c r="H184" s="771">
        <v>1.1000000000000001</v>
      </c>
      <c r="I184" s="771" t="s">
        <v>305</v>
      </c>
      <c r="J184" s="771" t="s">
        <v>308</v>
      </c>
      <c r="K184" s="771"/>
      <c r="L184" s="771"/>
      <c r="M184" s="8"/>
    </row>
    <row r="185" spans="1:13" ht="26.45" hidden="1" outlineLevel="1">
      <c r="A185" s="771">
        <v>1</v>
      </c>
      <c r="B185" s="327" t="e">
        <f>'1. Detailed Budget POA'!#REF!</f>
        <v>#REF!</v>
      </c>
      <c r="C185" s="771" t="s">
        <v>303</v>
      </c>
      <c r="D185" s="771" t="s">
        <v>304</v>
      </c>
      <c r="E185" s="328" t="e">
        <f>'1. Detailed Budget POA'!#REF!</f>
        <v>#REF!</v>
      </c>
      <c r="F185" s="8"/>
      <c r="G185" s="328" t="e">
        <f t="shared" si="4"/>
        <v>#REF!</v>
      </c>
      <c r="H185" s="771">
        <v>1.1000000000000001</v>
      </c>
      <c r="I185" s="771" t="s">
        <v>305</v>
      </c>
      <c r="J185" s="771" t="s">
        <v>308</v>
      </c>
      <c r="K185" s="771"/>
      <c r="L185" s="771"/>
      <c r="M185" s="8"/>
    </row>
    <row r="186" spans="1:13" ht="26.45" hidden="1" outlineLevel="1">
      <c r="A186" s="771">
        <v>1</v>
      </c>
      <c r="B186" s="327" t="e">
        <f>'1. Detailed Budget POA'!#REF!</f>
        <v>#REF!</v>
      </c>
      <c r="C186" s="771" t="s">
        <v>303</v>
      </c>
      <c r="D186" s="771" t="s">
        <v>304</v>
      </c>
      <c r="E186" s="328" t="e">
        <f>'1. Detailed Budget POA'!#REF!</f>
        <v>#REF!</v>
      </c>
      <c r="F186" s="8"/>
      <c r="G186" s="328" t="e">
        <f t="shared" si="4"/>
        <v>#REF!</v>
      </c>
      <c r="H186" s="771">
        <v>1.1000000000000001</v>
      </c>
      <c r="I186" s="771" t="s">
        <v>305</v>
      </c>
      <c r="J186" s="771" t="s">
        <v>308</v>
      </c>
      <c r="K186" s="771"/>
      <c r="L186" s="771"/>
      <c r="M186" s="8"/>
    </row>
    <row r="187" spans="1:13" ht="26.45" hidden="1" outlineLevel="1">
      <c r="A187" s="771">
        <v>1</v>
      </c>
      <c r="B187" s="327" t="e">
        <f>'1. Detailed Budget POA'!#REF!</f>
        <v>#REF!</v>
      </c>
      <c r="C187" s="771" t="s">
        <v>303</v>
      </c>
      <c r="D187" s="771" t="s">
        <v>304</v>
      </c>
      <c r="E187" s="328" t="e">
        <f>'1. Detailed Budget POA'!#REF!</f>
        <v>#REF!</v>
      </c>
      <c r="F187" s="8"/>
      <c r="G187" s="328" t="e">
        <f t="shared" si="4"/>
        <v>#REF!</v>
      </c>
      <c r="H187" s="771">
        <v>1.1000000000000001</v>
      </c>
      <c r="I187" s="771" t="s">
        <v>305</v>
      </c>
      <c r="J187" s="771" t="s">
        <v>308</v>
      </c>
      <c r="K187" s="771"/>
      <c r="L187" s="771"/>
      <c r="M187" s="8"/>
    </row>
    <row r="188" spans="1:13" ht="26.45" hidden="1" outlineLevel="1">
      <c r="A188" s="771">
        <v>1</v>
      </c>
      <c r="B188" s="327" t="e">
        <f>'1. Detailed Budget POA'!#REF!</f>
        <v>#REF!</v>
      </c>
      <c r="C188" s="771" t="s">
        <v>303</v>
      </c>
      <c r="D188" s="771" t="s">
        <v>304</v>
      </c>
      <c r="E188" s="328" t="e">
        <f>'1. Detailed Budget POA'!#REF!</f>
        <v>#REF!</v>
      </c>
      <c r="F188" s="8"/>
      <c r="G188" s="328" t="e">
        <f t="shared" si="4"/>
        <v>#REF!</v>
      </c>
      <c r="H188" s="771">
        <v>1.1000000000000001</v>
      </c>
      <c r="I188" s="771" t="s">
        <v>305</v>
      </c>
      <c r="J188" s="771" t="s">
        <v>308</v>
      </c>
      <c r="K188" s="771"/>
      <c r="L188" s="771"/>
      <c r="M188" s="8"/>
    </row>
    <row r="189" spans="1:13" ht="26.45" hidden="1" outlineLevel="1">
      <c r="A189" s="771">
        <v>1</v>
      </c>
      <c r="B189" s="327" t="e">
        <f>'1. Detailed Budget POA'!#REF!</f>
        <v>#REF!</v>
      </c>
      <c r="C189" s="771" t="s">
        <v>303</v>
      </c>
      <c r="D189" s="771" t="s">
        <v>304</v>
      </c>
      <c r="E189" s="328" t="e">
        <f>'1. Detailed Budget POA'!#REF!</f>
        <v>#REF!</v>
      </c>
      <c r="F189" s="8"/>
      <c r="G189" s="328" t="e">
        <f t="shared" si="4"/>
        <v>#REF!</v>
      </c>
      <c r="H189" s="771">
        <v>1.1000000000000001</v>
      </c>
      <c r="I189" s="771" t="s">
        <v>305</v>
      </c>
      <c r="J189" s="771" t="s">
        <v>308</v>
      </c>
      <c r="K189" s="771"/>
      <c r="L189" s="771"/>
      <c r="M189" s="8"/>
    </row>
    <row r="190" spans="1:13" ht="26.45" hidden="1" outlineLevel="1">
      <c r="A190" s="771">
        <v>1</v>
      </c>
      <c r="B190" s="327" t="e">
        <f>'1. Detailed Budget POA'!#REF!</f>
        <v>#REF!</v>
      </c>
      <c r="C190" s="771" t="s">
        <v>303</v>
      </c>
      <c r="D190" s="771" t="s">
        <v>304</v>
      </c>
      <c r="E190" s="328" t="e">
        <f>'1. Detailed Budget POA'!#REF!</f>
        <v>#REF!</v>
      </c>
      <c r="F190" s="8"/>
      <c r="G190" s="328" t="e">
        <f t="shared" si="4"/>
        <v>#REF!</v>
      </c>
      <c r="H190" s="771">
        <v>1.1000000000000001</v>
      </c>
      <c r="I190" s="771" t="s">
        <v>305</v>
      </c>
      <c r="J190" s="771" t="s">
        <v>308</v>
      </c>
      <c r="K190" s="771"/>
      <c r="L190" s="771"/>
      <c r="M190" s="8"/>
    </row>
    <row r="191" spans="1:13" ht="26.45" hidden="1" outlineLevel="1">
      <c r="A191" s="771">
        <v>1</v>
      </c>
      <c r="B191" s="327">
        <f>'1. Detailed Budget POA'!O69</f>
        <v>0</v>
      </c>
      <c r="C191" s="771" t="s">
        <v>303</v>
      </c>
      <c r="D191" s="771" t="s">
        <v>304</v>
      </c>
      <c r="E191" s="328">
        <f>'1. Detailed Budget POA'!R69</f>
        <v>0</v>
      </c>
      <c r="F191" s="8"/>
      <c r="G191" s="328">
        <f t="shared" si="4"/>
        <v>0</v>
      </c>
      <c r="H191" s="771">
        <v>1.1000000000000001</v>
      </c>
      <c r="I191" s="771" t="s">
        <v>305</v>
      </c>
      <c r="J191" s="771" t="s">
        <v>308</v>
      </c>
      <c r="K191" s="771"/>
      <c r="L191" s="771"/>
      <c r="M191" s="8"/>
    </row>
    <row r="192" spans="1:13" ht="26.45" hidden="1" outlineLevel="1">
      <c r="A192" s="771">
        <v>1</v>
      </c>
      <c r="B192" s="327">
        <f>'1. Detailed Budget POA'!O70</f>
        <v>0</v>
      </c>
      <c r="C192" s="771" t="s">
        <v>303</v>
      </c>
      <c r="D192" s="771" t="s">
        <v>304</v>
      </c>
      <c r="E192" s="328">
        <f>'1. Detailed Budget POA'!R70</f>
        <v>0</v>
      </c>
      <c r="F192" s="8"/>
      <c r="G192" s="328">
        <f t="shared" si="4"/>
        <v>0</v>
      </c>
      <c r="H192" s="771">
        <v>1.1000000000000001</v>
      </c>
      <c r="I192" s="771" t="s">
        <v>305</v>
      </c>
      <c r="J192" s="771" t="s">
        <v>308</v>
      </c>
      <c r="K192" s="771"/>
      <c r="L192" s="771"/>
      <c r="M192" s="8"/>
    </row>
    <row r="193" spans="1:13" ht="26.45" hidden="1" outlineLevel="1">
      <c r="A193" s="771">
        <v>1</v>
      </c>
      <c r="B193" s="327" t="e">
        <f>'1. Detailed Budget POA'!#REF!</f>
        <v>#REF!</v>
      </c>
      <c r="C193" s="771" t="s">
        <v>303</v>
      </c>
      <c r="D193" s="771" t="s">
        <v>304</v>
      </c>
      <c r="E193" s="328" t="e">
        <f>'1. Detailed Budget POA'!#REF!</f>
        <v>#REF!</v>
      </c>
      <c r="F193" s="8"/>
      <c r="G193" s="328" t="e">
        <f t="shared" si="4"/>
        <v>#REF!</v>
      </c>
      <c r="H193" s="771">
        <v>1.1000000000000001</v>
      </c>
      <c r="I193" s="771" t="s">
        <v>305</v>
      </c>
      <c r="J193" s="771" t="s">
        <v>308</v>
      </c>
      <c r="K193" s="771"/>
      <c r="L193" s="771"/>
      <c r="M193" s="8"/>
    </row>
    <row r="194" spans="1:13" ht="26.45" hidden="1" outlineLevel="1">
      <c r="A194" s="771">
        <v>1</v>
      </c>
      <c r="B194" s="327" t="e">
        <f>'1. Detailed Budget POA'!#REF!</f>
        <v>#REF!</v>
      </c>
      <c r="C194" s="771" t="s">
        <v>303</v>
      </c>
      <c r="D194" s="771" t="s">
        <v>304</v>
      </c>
      <c r="E194" s="328" t="e">
        <f>'1. Detailed Budget POA'!#REF!</f>
        <v>#REF!</v>
      </c>
      <c r="F194" s="8"/>
      <c r="G194" s="328" t="e">
        <f t="shared" si="4"/>
        <v>#REF!</v>
      </c>
      <c r="H194" s="771">
        <v>1.1000000000000001</v>
      </c>
      <c r="I194" s="771" t="s">
        <v>305</v>
      </c>
      <c r="J194" s="771" t="s">
        <v>308</v>
      </c>
      <c r="K194" s="771"/>
      <c r="L194" s="771"/>
      <c r="M194" s="8"/>
    </row>
    <row r="195" spans="1:13" ht="26.45" hidden="1" outlineLevel="1">
      <c r="A195" s="771">
        <v>1</v>
      </c>
      <c r="B195" s="327" t="e">
        <f>'1. Detailed Budget POA'!#REF!</f>
        <v>#REF!</v>
      </c>
      <c r="C195" s="771" t="s">
        <v>303</v>
      </c>
      <c r="D195" s="771" t="s">
        <v>304</v>
      </c>
      <c r="E195" s="328" t="e">
        <f>'1. Detailed Budget POA'!#REF!</f>
        <v>#REF!</v>
      </c>
      <c r="F195" s="8"/>
      <c r="G195" s="328" t="e">
        <f t="shared" si="4"/>
        <v>#REF!</v>
      </c>
      <c r="H195" s="771">
        <v>1.1000000000000001</v>
      </c>
      <c r="I195" s="771" t="s">
        <v>305</v>
      </c>
      <c r="J195" s="771" t="s">
        <v>308</v>
      </c>
      <c r="K195" s="771"/>
      <c r="L195" s="771"/>
      <c r="M195" s="8"/>
    </row>
    <row r="196" spans="1:13" ht="26.45" hidden="1" outlineLevel="1">
      <c r="A196" s="771">
        <v>1</v>
      </c>
      <c r="B196" s="327" t="e">
        <f>'1. Detailed Budget POA'!#REF!</f>
        <v>#REF!</v>
      </c>
      <c r="C196" s="771" t="s">
        <v>303</v>
      </c>
      <c r="D196" s="771" t="s">
        <v>304</v>
      </c>
      <c r="E196" s="328" t="e">
        <f>'1. Detailed Budget POA'!#REF!</f>
        <v>#REF!</v>
      </c>
      <c r="F196" s="8"/>
      <c r="G196" s="328" t="e">
        <f t="shared" si="4"/>
        <v>#REF!</v>
      </c>
      <c r="H196" s="771">
        <v>1.1000000000000001</v>
      </c>
      <c r="I196" s="771" t="s">
        <v>305</v>
      </c>
      <c r="J196" s="771" t="s">
        <v>308</v>
      </c>
      <c r="K196" s="771"/>
      <c r="L196" s="771"/>
      <c r="M196" s="8"/>
    </row>
    <row r="197" spans="1:13" ht="26.45" hidden="1" outlineLevel="1">
      <c r="A197" s="771">
        <v>1</v>
      </c>
      <c r="B197" s="327" t="e">
        <f>'1. Detailed Budget POA'!#REF!</f>
        <v>#REF!</v>
      </c>
      <c r="C197" s="771" t="s">
        <v>303</v>
      </c>
      <c r="D197" s="771" t="s">
        <v>304</v>
      </c>
      <c r="E197" s="328" t="e">
        <f>'1. Detailed Budget POA'!#REF!</f>
        <v>#REF!</v>
      </c>
      <c r="F197" s="8"/>
      <c r="G197" s="328" t="e">
        <f t="shared" si="4"/>
        <v>#REF!</v>
      </c>
      <c r="H197" s="771">
        <v>1.1000000000000001</v>
      </c>
      <c r="I197" s="771" t="s">
        <v>305</v>
      </c>
      <c r="J197" s="771" t="s">
        <v>308</v>
      </c>
      <c r="K197" s="771"/>
      <c r="L197" s="771"/>
      <c r="M197" s="8"/>
    </row>
    <row r="198" spans="1:13" ht="26.45" hidden="1" outlineLevel="1">
      <c r="A198" s="771">
        <v>1</v>
      </c>
      <c r="B198" s="327" t="e">
        <f>'1. Detailed Budget POA'!#REF!</f>
        <v>#REF!</v>
      </c>
      <c r="C198" s="771" t="s">
        <v>303</v>
      </c>
      <c r="D198" s="771" t="s">
        <v>304</v>
      </c>
      <c r="E198" s="328" t="e">
        <f>'1. Detailed Budget POA'!#REF!</f>
        <v>#REF!</v>
      </c>
      <c r="F198" s="8"/>
      <c r="G198" s="328" t="e">
        <f t="shared" si="4"/>
        <v>#REF!</v>
      </c>
      <c r="H198" s="771">
        <v>1.1000000000000001</v>
      </c>
      <c r="I198" s="771" t="s">
        <v>305</v>
      </c>
      <c r="J198" s="771" t="s">
        <v>308</v>
      </c>
      <c r="K198" s="771"/>
      <c r="L198" s="771"/>
      <c r="M198" s="8"/>
    </row>
    <row r="199" spans="1:13" ht="26.45" hidden="1" outlineLevel="1">
      <c r="A199" s="771">
        <v>1</v>
      </c>
      <c r="B199" s="327" t="e">
        <f>'1. Detailed Budget POA'!#REF!</f>
        <v>#REF!</v>
      </c>
      <c r="C199" s="771" t="s">
        <v>303</v>
      </c>
      <c r="D199" s="771" t="s">
        <v>304</v>
      </c>
      <c r="E199" s="328" t="e">
        <f>'1. Detailed Budget POA'!#REF!</f>
        <v>#REF!</v>
      </c>
      <c r="F199" s="8"/>
      <c r="G199" s="328" t="e">
        <f t="shared" si="4"/>
        <v>#REF!</v>
      </c>
      <c r="H199" s="771">
        <v>1.1000000000000001</v>
      </c>
      <c r="I199" s="771" t="s">
        <v>305</v>
      </c>
      <c r="J199" s="771" t="s">
        <v>308</v>
      </c>
      <c r="K199" s="771"/>
      <c r="L199" s="771"/>
      <c r="M199" s="8"/>
    </row>
    <row r="200" spans="1:13" ht="26.45" hidden="1" outlineLevel="1">
      <c r="A200" s="771">
        <v>1</v>
      </c>
      <c r="B200" s="327" t="e">
        <f>'1. Detailed Budget POA'!#REF!</f>
        <v>#REF!</v>
      </c>
      <c r="C200" s="771" t="s">
        <v>303</v>
      </c>
      <c r="D200" s="771" t="s">
        <v>304</v>
      </c>
      <c r="E200" s="328" t="e">
        <f>'1. Detailed Budget POA'!#REF!</f>
        <v>#REF!</v>
      </c>
      <c r="F200" s="8"/>
      <c r="G200" s="328" t="e">
        <f t="shared" si="4"/>
        <v>#REF!</v>
      </c>
      <c r="H200" s="771">
        <v>1.1000000000000001</v>
      </c>
      <c r="I200" s="771" t="s">
        <v>305</v>
      </c>
      <c r="J200" s="771" t="s">
        <v>308</v>
      </c>
      <c r="K200" s="771"/>
      <c r="L200" s="771"/>
      <c r="M200" s="8"/>
    </row>
    <row r="201" spans="1:13" ht="26.45" hidden="1" outlineLevel="1">
      <c r="A201" s="771">
        <v>1</v>
      </c>
      <c r="B201" s="327" t="e">
        <f>'1. Detailed Budget POA'!#REF!</f>
        <v>#REF!</v>
      </c>
      <c r="C201" s="771" t="s">
        <v>303</v>
      </c>
      <c r="D201" s="771" t="s">
        <v>304</v>
      </c>
      <c r="E201" s="328" t="e">
        <f>'1. Detailed Budget POA'!#REF!</f>
        <v>#REF!</v>
      </c>
      <c r="F201" s="8"/>
      <c r="G201" s="328" t="e">
        <f t="shared" si="4"/>
        <v>#REF!</v>
      </c>
      <c r="H201" s="771">
        <v>1.1000000000000001</v>
      </c>
      <c r="I201" s="771" t="s">
        <v>305</v>
      </c>
      <c r="J201" s="771" t="s">
        <v>308</v>
      </c>
      <c r="K201" s="771"/>
      <c r="L201" s="771"/>
      <c r="M201" s="8"/>
    </row>
    <row r="202" spans="1:13" ht="26.45" hidden="1" outlineLevel="1">
      <c r="A202" s="771">
        <v>1</v>
      </c>
      <c r="B202" s="327" t="e">
        <f>'1. Detailed Budget POA'!#REF!</f>
        <v>#REF!</v>
      </c>
      <c r="C202" s="771" t="s">
        <v>303</v>
      </c>
      <c r="D202" s="771" t="s">
        <v>304</v>
      </c>
      <c r="E202" s="328" t="e">
        <f>'1. Detailed Budget POA'!#REF!</f>
        <v>#REF!</v>
      </c>
      <c r="F202" s="8"/>
      <c r="G202" s="328" t="e">
        <f t="shared" si="4"/>
        <v>#REF!</v>
      </c>
      <c r="H202" s="771">
        <v>1.1000000000000001</v>
      </c>
      <c r="I202" s="771" t="s">
        <v>305</v>
      </c>
      <c r="J202" s="771" t="s">
        <v>308</v>
      </c>
      <c r="K202" s="771"/>
      <c r="L202" s="771"/>
      <c r="M202" s="8"/>
    </row>
    <row r="203" spans="1:13" ht="26.45" hidden="1" outlineLevel="1">
      <c r="A203" s="771">
        <v>1</v>
      </c>
      <c r="B203" s="327" t="e">
        <f>'1. Detailed Budget POA'!#REF!</f>
        <v>#REF!</v>
      </c>
      <c r="C203" s="771" t="s">
        <v>303</v>
      </c>
      <c r="D203" s="771" t="s">
        <v>304</v>
      </c>
      <c r="E203" s="328" t="e">
        <f>'1. Detailed Budget POA'!#REF!</f>
        <v>#REF!</v>
      </c>
      <c r="F203" s="8"/>
      <c r="G203" s="328" t="e">
        <f t="shared" si="4"/>
        <v>#REF!</v>
      </c>
      <c r="H203" s="771">
        <v>1.1000000000000001</v>
      </c>
      <c r="I203" s="771" t="s">
        <v>305</v>
      </c>
      <c r="J203" s="771" t="s">
        <v>308</v>
      </c>
      <c r="K203" s="771"/>
      <c r="L203" s="771"/>
      <c r="M203" s="8"/>
    </row>
    <row r="204" spans="1:13" ht="26.45" hidden="1" outlineLevel="1">
      <c r="A204" s="771">
        <v>1</v>
      </c>
      <c r="B204" s="327" t="e">
        <f>'1. Detailed Budget POA'!#REF!</f>
        <v>#REF!</v>
      </c>
      <c r="C204" s="771" t="s">
        <v>303</v>
      </c>
      <c r="D204" s="771" t="s">
        <v>304</v>
      </c>
      <c r="E204" s="328" t="e">
        <f>'1. Detailed Budget POA'!#REF!</f>
        <v>#REF!</v>
      </c>
      <c r="F204" s="8"/>
      <c r="G204" s="328" t="e">
        <f t="shared" si="4"/>
        <v>#REF!</v>
      </c>
      <c r="H204" s="771">
        <v>1.1000000000000001</v>
      </c>
      <c r="I204" s="771" t="s">
        <v>305</v>
      </c>
      <c r="J204" s="771" t="s">
        <v>308</v>
      </c>
      <c r="K204" s="771"/>
      <c r="L204" s="771"/>
      <c r="M204" s="8"/>
    </row>
    <row r="205" spans="1:13" ht="26.45" collapsed="1">
      <c r="A205" s="771">
        <v>7</v>
      </c>
      <c r="B205" s="327" t="e">
        <f>'1. Detailed Budget POA'!#REF!</f>
        <v>#REF!</v>
      </c>
      <c r="C205" s="771" t="s">
        <v>303</v>
      </c>
      <c r="D205" s="771" t="s">
        <v>304</v>
      </c>
      <c r="E205" s="328" t="e">
        <f>'1. Detailed Budget POA'!#REF!</f>
        <v>#REF!</v>
      </c>
      <c r="F205" s="8"/>
      <c r="G205" s="328" t="e">
        <f t="shared" si="4"/>
        <v>#REF!</v>
      </c>
      <c r="H205" s="771">
        <v>3.2</v>
      </c>
      <c r="I205" s="771" t="s">
        <v>305</v>
      </c>
      <c r="J205" s="771" t="s">
        <v>308</v>
      </c>
      <c r="K205" s="771">
        <v>2020</v>
      </c>
      <c r="L205" s="771">
        <v>2021</v>
      </c>
      <c r="M205" s="8"/>
    </row>
    <row r="206" spans="1:13" ht="26.45">
      <c r="A206" s="771">
        <v>1</v>
      </c>
      <c r="B206" s="327" t="e">
        <f>'1. Detailed Budget POA'!#REF!</f>
        <v>#REF!</v>
      </c>
      <c r="C206" s="771" t="s">
        <v>303</v>
      </c>
      <c r="D206" s="771" t="s">
        <v>304</v>
      </c>
      <c r="E206" s="328" t="e">
        <f>'1. Detailed Budget POA'!#REF!</f>
        <v>#REF!</v>
      </c>
      <c r="F206" s="8"/>
      <c r="G206" s="328" t="e">
        <f t="shared" si="4"/>
        <v>#REF!</v>
      </c>
      <c r="H206" s="771">
        <v>1.1000000000000001</v>
      </c>
      <c r="I206" s="771" t="s">
        <v>305</v>
      </c>
      <c r="J206" s="771" t="s">
        <v>308</v>
      </c>
      <c r="K206" s="771"/>
      <c r="L206" s="771"/>
      <c r="M206" s="8"/>
    </row>
    <row r="207" spans="1:13" ht="26.45" hidden="1" outlineLevel="1">
      <c r="A207" s="771">
        <v>1</v>
      </c>
      <c r="B207" s="327" t="e">
        <f>'1. Detailed Budget POA'!#REF!</f>
        <v>#REF!</v>
      </c>
      <c r="C207" s="771" t="s">
        <v>303</v>
      </c>
      <c r="D207" s="771" t="s">
        <v>304</v>
      </c>
      <c r="E207" s="328" t="e">
        <f>'1. Detailed Budget POA'!#REF!</f>
        <v>#REF!</v>
      </c>
      <c r="F207" s="8"/>
      <c r="G207" s="328" t="e">
        <f t="shared" si="4"/>
        <v>#REF!</v>
      </c>
      <c r="H207" s="771">
        <v>1.1000000000000001</v>
      </c>
      <c r="I207" s="771" t="s">
        <v>305</v>
      </c>
      <c r="J207" s="771" t="s">
        <v>308</v>
      </c>
      <c r="K207" s="771"/>
      <c r="L207" s="771"/>
      <c r="M207" s="8"/>
    </row>
    <row r="208" spans="1:13" ht="26.45" hidden="1" outlineLevel="1">
      <c r="A208" s="771">
        <v>1</v>
      </c>
      <c r="B208" s="327" t="e">
        <f>'1. Detailed Budget POA'!#REF!</f>
        <v>#REF!</v>
      </c>
      <c r="C208" s="771" t="s">
        <v>303</v>
      </c>
      <c r="D208" s="771" t="s">
        <v>304</v>
      </c>
      <c r="E208" s="328" t="e">
        <f>'1. Detailed Budget POA'!#REF!</f>
        <v>#REF!</v>
      </c>
      <c r="F208" s="8"/>
      <c r="G208" s="328" t="e">
        <f t="shared" si="4"/>
        <v>#REF!</v>
      </c>
      <c r="H208" s="771">
        <v>1.1000000000000001</v>
      </c>
      <c r="I208" s="771" t="s">
        <v>305</v>
      </c>
      <c r="J208" s="771" t="s">
        <v>308</v>
      </c>
      <c r="K208" s="771"/>
      <c r="L208" s="771"/>
      <c r="M208" s="8"/>
    </row>
    <row r="209" spans="1:13" ht="26.45" hidden="1" outlineLevel="1">
      <c r="A209" s="771">
        <v>1</v>
      </c>
      <c r="B209" s="327" t="e">
        <f>'1. Detailed Budget POA'!#REF!</f>
        <v>#REF!</v>
      </c>
      <c r="C209" s="771" t="s">
        <v>303</v>
      </c>
      <c r="D209" s="771" t="s">
        <v>304</v>
      </c>
      <c r="E209" s="328" t="e">
        <f>'1. Detailed Budget POA'!#REF!</f>
        <v>#REF!</v>
      </c>
      <c r="F209" s="8"/>
      <c r="G209" s="328" t="e">
        <f t="shared" si="4"/>
        <v>#REF!</v>
      </c>
      <c r="H209" s="771">
        <v>1.1000000000000001</v>
      </c>
      <c r="I209" s="771" t="s">
        <v>305</v>
      </c>
      <c r="J209" s="771" t="s">
        <v>308</v>
      </c>
      <c r="K209" s="771"/>
      <c r="L209" s="771"/>
      <c r="M209" s="8"/>
    </row>
    <row r="210" spans="1:13" ht="26.45" hidden="1" outlineLevel="1">
      <c r="A210" s="771">
        <v>1</v>
      </c>
      <c r="B210" s="327" t="e">
        <f>'1. Detailed Budget POA'!#REF!</f>
        <v>#REF!</v>
      </c>
      <c r="C210" s="771" t="s">
        <v>303</v>
      </c>
      <c r="D210" s="771" t="s">
        <v>304</v>
      </c>
      <c r="E210" s="328" t="e">
        <f>'1. Detailed Budget POA'!#REF!</f>
        <v>#REF!</v>
      </c>
      <c r="F210" s="8"/>
      <c r="G210" s="328" t="e">
        <f t="shared" si="4"/>
        <v>#REF!</v>
      </c>
      <c r="H210" s="771">
        <v>1.1000000000000001</v>
      </c>
      <c r="I210" s="771" t="s">
        <v>305</v>
      </c>
      <c r="J210" s="771" t="s">
        <v>308</v>
      </c>
      <c r="K210" s="771"/>
      <c r="L210" s="771"/>
      <c r="M210" s="8"/>
    </row>
    <row r="211" spans="1:13" ht="26.45" hidden="1" outlineLevel="1">
      <c r="A211" s="771">
        <v>1</v>
      </c>
      <c r="B211" s="327" t="e">
        <f>'1. Detailed Budget POA'!#REF!</f>
        <v>#REF!</v>
      </c>
      <c r="C211" s="771" t="s">
        <v>303</v>
      </c>
      <c r="D211" s="771" t="s">
        <v>304</v>
      </c>
      <c r="E211" s="328" t="e">
        <f>'1. Detailed Budget POA'!#REF!</f>
        <v>#REF!</v>
      </c>
      <c r="F211" s="8"/>
      <c r="G211" s="328" t="e">
        <f t="shared" si="4"/>
        <v>#REF!</v>
      </c>
      <c r="H211" s="771">
        <v>1.1000000000000001</v>
      </c>
      <c r="I211" s="771" t="s">
        <v>305</v>
      </c>
      <c r="J211" s="771" t="s">
        <v>308</v>
      </c>
      <c r="K211" s="771"/>
      <c r="L211" s="771"/>
      <c r="M211" s="8"/>
    </row>
    <row r="212" spans="1:13" ht="26.45" hidden="1" outlineLevel="1">
      <c r="A212" s="771">
        <v>1</v>
      </c>
      <c r="B212" s="327" t="e">
        <f>'1. Detailed Budget POA'!#REF!</f>
        <v>#REF!</v>
      </c>
      <c r="C212" s="771" t="s">
        <v>303</v>
      </c>
      <c r="D212" s="771" t="s">
        <v>304</v>
      </c>
      <c r="E212" s="328" t="e">
        <f>'1. Detailed Budget POA'!#REF!</f>
        <v>#REF!</v>
      </c>
      <c r="F212" s="8"/>
      <c r="G212" s="328" t="e">
        <f t="shared" si="4"/>
        <v>#REF!</v>
      </c>
      <c r="H212" s="771">
        <v>1.1000000000000001</v>
      </c>
      <c r="I212" s="771" t="s">
        <v>305</v>
      </c>
      <c r="J212" s="771" t="s">
        <v>308</v>
      </c>
      <c r="K212" s="771"/>
      <c r="L212" s="771"/>
      <c r="M212" s="8"/>
    </row>
    <row r="213" spans="1:13" ht="26.45" hidden="1" outlineLevel="1">
      <c r="A213" s="771">
        <v>8</v>
      </c>
      <c r="B213" s="327" t="e">
        <f>'1. Detailed Budget POA'!#REF!</f>
        <v>#REF!</v>
      </c>
      <c r="C213" s="771" t="s">
        <v>303</v>
      </c>
      <c r="D213" s="771" t="s">
        <v>304</v>
      </c>
      <c r="E213" s="328" t="e">
        <f>'1. Detailed Budget POA'!#REF!</f>
        <v>#REF!</v>
      </c>
      <c r="F213" s="8"/>
      <c r="G213" s="328" t="e">
        <f t="shared" si="4"/>
        <v>#REF!</v>
      </c>
      <c r="H213" s="771">
        <v>3.3</v>
      </c>
      <c r="I213" s="771" t="s">
        <v>305</v>
      </c>
      <c r="J213" s="771" t="s">
        <v>308</v>
      </c>
      <c r="K213" s="771">
        <v>2020</v>
      </c>
      <c r="L213" s="771">
        <v>2020</v>
      </c>
      <c r="M213" s="8"/>
    </row>
    <row r="214" spans="1:13" ht="26.45" hidden="1" outlineLevel="1">
      <c r="A214" s="771">
        <v>1</v>
      </c>
      <c r="B214" s="327" t="e">
        <f>'1. Detailed Budget POA'!#REF!</f>
        <v>#REF!</v>
      </c>
      <c r="C214" s="771" t="s">
        <v>303</v>
      </c>
      <c r="D214" s="771" t="s">
        <v>304</v>
      </c>
      <c r="E214" s="328" t="e">
        <f>'1. Detailed Budget POA'!#REF!</f>
        <v>#REF!</v>
      </c>
      <c r="F214" s="8"/>
      <c r="G214" s="328" t="e">
        <f t="shared" si="4"/>
        <v>#REF!</v>
      </c>
      <c r="H214" s="771">
        <v>1.1000000000000001</v>
      </c>
      <c r="I214" s="771" t="s">
        <v>305</v>
      </c>
      <c r="J214" s="771" t="s">
        <v>308</v>
      </c>
      <c r="K214" s="8"/>
      <c r="L214" s="8"/>
      <c r="M214" s="8"/>
    </row>
    <row r="215" spans="1:13" ht="26.45" hidden="1" outlineLevel="1">
      <c r="A215" s="771">
        <v>1</v>
      </c>
      <c r="B215" s="327" t="e">
        <f>'1. Detailed Budget POA'!#REF!</f>
        <v>#REF!</v>
      </c>
      <c r="C215" s="771" t="s">
        <v>303</v>
      </c>
      <c r="D215" s="771" t="s">
        <v>304</v>
      </c>
      <c r="E215" s="328" t="e">
        <f>'1. Detailed Budget POA'!#REF!</f>
        <v>#REF!</v>
      </c>
      <c r="F215" s="8"/>
      <c r="G215" s="328" t="e">
        <f t="shared" si="4"/>
        <v>#REF!</v>
      </c>
      <c r="H215" s="771">
        <v>1.1000000000000001</v>
      </c>
      <c r="I215" s="771" t="s">
        <v>305</v>
      </c>
      <c r="J215" s="771" t="s">
        <v>308</v>
      </c>
      <c r="K215" s="8"/>
      <c r="L215" s="8"/>
      <c r="M215" s="8"/>
    </row>
    <row r="216" spans="1:13" ht="26.45" hidden="1" outlineLevel="1">
      <c r="A216" s="771">
        <v>1</v>
      </c>
      <c r="B216" s="327" t="e">
        <f>'1. Detailed Budget POA'!#REF!</f>
        <v>#REF!</v>
      </c>
      <c r="C216" s="771" t="s">
        <v>303</v>
      </c>
      <c r="D216" s="771" t="s">
        <v>304</v>
      </c>
      <c r="E216" s="328" t="e">
        <f>'1. Detailed Budget POA'!#REF!</f>
        <v>#REF!</v>
      </c>
      <c r="F216" s="8"/>
      <c r="G216" s="328" t="e">
        <f t="shared" si="4"/>
        <v>#REF!</v>
      </c>
      <c r="H216" s="771">
        <v>1.1000000000000001</v>
      </c>
      <c r="I216" s="771" t="s">
        <v>305</v>
      </c>
      <c r="J216" s="771" t="s">
        <v>308</v>
      </c>
      <c r="K216" s="8"/>
      <c r="L216" s="8"/>
      <c r="M216" s="8"/>
    </row>
    <row r="217" spans="1:13" ht="26.45" hidden="1" outlineLevel="1">
      <c r="A217" s="771">
        <v>1</v>
      </c>
      <c r="B217" s="327" t="e">
        <f>'1. Detailed Budget POA'!#REF!</f>
        <v>#REF!</v>
      </c>
      <c r="C217" s="771" t="s">
        <v>303</v>
      </c>
      <c r="D217" s="771" t="s">
        <v>304</v>
      </c>
      <c r="E217" s="328" t="e">
        <f>'1. Detailed Budget POA'!#REF!</f>
        <v>#REF!</v>
      </c>
      <c r="F217" s="8"/>
      <c r="G217" s="328" t="e">
        <f>SUM(E217:F217)</f>
        <v>#REF!</v>
      </c>
      <c r="H217" s="771">
        <v>1.1000000000000001</v>
      </c>
      <c r="I217" s="771" t="s">
        <v>305</v>
      </c>
      <c r="J217" s="771" t="s">
        <v>308</v>
      </c>
      <c r="K217" s="8"/>
      <c r="L217" s="8"/>
      <c r="M217" s="8"/>
    </row>
    <row r="218" spans="1:13" ht="26.45" hidden="1" outlineLevel="1">
      <c r="A218" s="771">
        <v>1</v>
      </c>
      <c r="B218" s="327" t="e">
        <f>'1. Detailed Budget POA'!#REF!</f>
        <v>#REF!</v>
      </c>
      <c r="C218" s="771" t="s">
        <v>303</v>
      </c>
      <c r="D218" s="771" t="s">
        <v>304</v>
      </c>
      <c r="E218" s="328" t="e">
        <f>'1. Detailed Budget POA'!#REF!</f>
        <v>#REF!</v>
      </c>
      <c r="F218" s="8"/>
      <c r="G218" s="328" t="e">
        <f>SUM(E218:F218)</f>
        <v>#REF!</v>
      </c>
      <c r="H218" s="771">
        <v>1.1000000000000001</v>
      </c>
      <c r="I218" s="771" t="s">
        <v>305</v>
      </c>
      <c r="J218" s="771" t="s">
        <v>308</v>
      </c>
      <c r="K218" s="8"/>
      <c r="L218" s="8"/>
      <c r="M218" s="8"/>
    </row>
    <row r="219" spans="1:13" collapsed="1">
      <c r="A219" s="23"/>
      <c r="B219" s="23"/>
      <c r="C219" s="52"/>
      <c r="D219" s="52"/>
      <c r="E219" s="23"/>
      <c r="F219" s="23"/>
      <c r="G219" s="23"/>
      <c r="H219" s="23"/>
      <c r="I219" s="23"/>
      <c r="J219" s="23"/>
      <c r="K219" s="23"/>
      <c r="L219" s="23"/>
      <c r="M219" s="23"/>
    </row>
    <row r="220" spans="1:13" ht="24" customHeight="1">
      <c r="A220" s="48"/>
      <c r="B220" s="1065" t="s">
        <v>301</v>
      </c>
      <c r="C220" s="1065"/>
      <c r="D220" s="1065"/>
      <c r="E220" s="1066" t="e">
        <f>SUM(E118:E218)</f>
        <v>#REF!</v>
      </c>
      <c r="F220" s="1066">
        <f>SUM(F118:F218)</f>
        <v>0</v>
      </c>
      <c r="G220" s="1066" t="e">
        <f>SUM(G118:G218)</f>
        <v>#REF!</v>
      </c>
      <c r="H220" s="48"/>
      <c r="I220" s="48"/>
      <c r="J220" s="48"/>
      <c r="K220" s="48"/>
      <c r="L220" s="48"/>
      <c r="M220" s="48"/>
    </row>
    <row r="221" spans="1:13">
      <c r="A221" s="23"/>
      <c r="B221" s="23"/>
      <c r="C221" s="52"/>
      <c r="D221" s="52"/>
      <c r="E221" s="23"/>
      <c r="F221" s="23"/>
      <c r="G221" s="23"/>
      <c r="H221" s="23"/>
      <c r="I221" s="23"/>
      <c r="J221" s="23"/>
      <c r="K221" s="23"/>
      <c r="L221" s="23"/>
      <c r="M221" s="23"/>
    </row>
    <row r="222" spans="1:13">
      <c r="A222" s="947" t="s">
        <v>309</v>
      </c>
      <c r="B222" s="1063"/>
      <c r="C222" s="1063"/>
      <c r="D222" s="1063"/>
      <c r="E222" s="1063"/>
      <c r="F222" s="1063"/>
      <c r="G222" s="1063"/>
      <c r="H222" s="1063"/>
      <c r="I222" s="1063"/>
      <c r="J222" s="1063"/>
      <c r="K222" s="1063"/>
      <c r="L222" s="1063"/>
      <c r="M222" s="1064"/>
    </row>
    <row r="223" spans="1:13" ht="26.45">
      <c r="A223" s="771">
        <v>1</v>
      </c>
      <c r="B223" s="327" t="str">
        <f>'1. Detailed Budget POA'!S10</f>
        <v>Seminarios para la diseminación del nuevo sistema</v>
      </c>
      <c r="C223" s="771" t="s">
        <v>303</v>
      </c>
      <c r="D223" s="771" t="s">
        <v>304</v>
      </c>
      <c r="E223" s="328">
        <f>'1. Detailed Budget POA'!V10</f>
        <v>25000</v>
      </c>
      <c r="F223" s="8"/>
      <c r="G223" s="328">
        <f>SUM(E223:F223)</f>
        <v>25000</v>
      </c>
      <c r="H223" s="771">
        <v>1.1000000000000001</v>
      </c>
      <c r="I223" s="771" t="s">
        <v>305</v>
      </c>
      <c r="J223" s="771" t="s">
        <v>308</v>
      </c>
      <c r="K223" s="771">
        <v>2019</v>
      </c>
      <c r="L223" s="771">
        <v>2020</v>
      </c>
      <c r="M223" s="8"/>
    </row>
    <row r="224" spans="1:13" ht="26.45">
      <c r="A224" s="771">
        <v>2</v>
      </c>
      <c r="B224" s="327" t="str">
        <f>'1. Detailed Budget POA'!S11</f>
        <v>Programa de entrenamiento en el uso del sistema</v>
      </c>
      <c r="C224" s="771" t="s">
        <v>303</v>
      </c>
      <c r="D224" s="771" t="s">
        <v>304</v>
      </c>
      <c r="E224" s="328">
        <f>'1. Detailed Budget POA'!V11</f>
        <v>1400000</v>
      </c>
      <c r="F224" s="8"/>
      <c r="G224" s="328">
        <f t="shared" ref="G224:G281" si="5">SUM(E224:F224)</f>
        <v>1400000</v>
      </c>
      <c r="H224" s="771">
        <v>1.1000000000000001</v>
      </c>
      <c r="I224" s="771" t="s">
        <v>305</v>
      </c>
      <c r="J224" s="771" t="s">
        <v>308</v>
      </c>
      <c r="K224" s="771">
        <v>2020</v>
      </c>
      <c r="L224" s="771">
        <v>2021</v>
      </c>
      <c r="M224" s="8"/>
    </row>
    <row r="225" spans="1:13" ht="26.45">
      <c r="A225" s="771">
        <v>3</v>
      </c>
      <c r="B225" s="327">
        <f>'1. Detailed Budget POA'!S12</f>
        <v>0</v>
      </c>
      <c r="C225" s="771" t="s">
        <v>303</v>
      </c>
      <c r="D225" s="771" t="s">
        <v>304</v>
      </c>
      <c r="E225" s="328">
        <f>'1. Detailed Budget POA'!V12</f>
        <v>0</v>
      </c>
      <c r="F225" s="8"/>
      <c r="G225" s="328">
        <f t="shared" si="5"/>
        <v>0</v>
      </c>
      <c r="H225" s="771">
        <v>1.1000000000000001</v>
      </c>
      <c r="I225" s="771" t="s">
        <v>305</v>
      </c>
      <c r="J225" s="771" t="s">
        <v>308</v>
      </c>
      <c r="K225" s="771">
        <v>2019</v>
      </c>
      <c r="L225" s="771">
        <v>2019</v>
      </c>
      <c r="M225" s="8"/>
    </row>
    <row r="226" spans="1:13" ht="26.45" hidden="1" outlineLevel="1">
      <c r="A226" s="771">
        <v>4</v>
      </c>
      <c r="B226" s="327">
        <f>'1. Detailed Budget POA'!S13</f>
        <v>0</v>
      </c>
      <c r="C226" s="771" t="s">
        <v>303</v>
      </c>
      <c r="D226" s="771" t="s">
        <v>304</v>
      </c>
      <c r="E226" s="328">
        <f>'1. Detailed Budget POA'!V13</f>
        <v>0</v>
      </c>
      <c r="F226" s="8"/>
      <c r="G226" s="328">
        <f t="shared" si="5"/>
        <v>0</v>
      </c>
      <c r="H226" s="771"/>
      <c r="I226" s="771" t="s">
        <v>305</v>
      </c>
      <c r="J226" s="771" t="s">
        <v>308</v>
      </c>
      <c r="K226" s="771"/>
      <c r="L226" s="771"/>
      <c r="M226" s="8"/>
    </row>
    <row r="227" spans="1:13" ht="26.45" hidden="1" outlineLevel="1">
      <c r="A227" s="771">
        <v>5</v>
      </c>
      <c r="B227" s="327">
        <f>'1. Detailed Budget POA'!S18</f>
        <v>0</v>
      </c>
      <c r="C227" s="771" t="s">
        <v>303</v>
      </c>
      <c r="D227" s="771" t="s">
        <v>304</v>
      </c>
      <c r="E227" s="328">
        <f>'1. Detailed Budget POA'!V18</f>
        <v>0</v>
      </c>
      <c r="F227" s="8"/>
      <c r="G227" s="328">
        <f t="shared" si="5"/>
        <v>0</v>
      </c>
      <c r="H227" s="771"/>
      <c r="I227" s="771" t="s">
        <v>305</v>
      </c>
      <c r="J227" s="771" t="s">
        <v>308</v>
      </c>
      <c r="K227" s="771"/>
      <c r="L227" s="771"/>
      <c r="M227" s="8"/>
    </row>
    <row r="228" spans="1:13" ht="26.45" collapsed="1">
      <c r="A228" s="771">
        <v>4</v>
      </c>
      <c r="B228" s="327">
        <f>'1. Detailed Budget POA'!S19</f>
        <v>0</v>
      </c>
      <c r="C228" s="771" t="s">
        <v>303</v>
      </c>
      <c r="D228" s="771" t="s">
        <v>304</v>
      </c>
      <c r="E228" s="328">
        <f>'1. Detailed Budget POA'!V19</f>
        <v>0</v>
      </c>
      <c r="F228" s="8"/>
      <c r="G228" s="328">
        <f t="shared" si="5"/>
        <v>0</v>
      </c>
      <c r="H228" s="771">
        <v>1.2</v>
      </c>
      <c r="I228" s="771" t="s">
        <v>305</v>
      </c>
      <c r="J228" s="771" t="s">
        <v>308</v>
      </c>
      <c r="K228" s="771">
        <v>2020</v>
      </c>
      <c r="L228" s="771">
        <v>2021</v>
      </c>
      <c r="M228" s="8"/>
    </row>
    <row r="229" spans="1:13" ht="26.45" hidden="1" outlineLevel="1">
      <c r="A229" s="771">
        <v>7</v>
      </c>
      <c r="B229" s="327">
        <f>'1. Detailed Budget POA'!S20</f>
        <v>0</v>
      </c>
      <c r="C229" s="771" t="s">
        <v>303</v>
      </c>
      <c r="D229" s="771" t="s">
        <v>304</v>
      </c>
      <c r="E229" s="328">
        <f>'1. Detailed Budget POA'!V20</f>
        <v>0</v>
      </c>
      <c r="F229" s="8"/>
      <c r="G229" s="328">
        <f t="shared" si="5"/>
        <v>0</v>
      </c>
      <c r="H229" s="771"/>
      <c r="I229" s="771" t="s">
        <v>305</v>
      </c>
      <c r="J229" s="771" t="s">
        <v>308</v>
      </c>
      <c r="K229" s="771"/>
      <c r="L229" s="771"/>
      <c r="M229" s="8"/>
    </row>
    <row r="230" spans="1:13" ht="26.45" hidden="1" outlineLevel="1">
      <c r="A230" s="771">
        <v>8</v>
      </c>
      <c r="B230" s="327">
        <f>'1. Detailed Budget POA'!S21</f>
        <v>0</v>
      </c>
      <c r="C230" s="771" t="s">
        <v>303</v>
      </c>
      <c r="D230" s="771" t="s">
        <v>304</v>
      </c>
      <c r="E230" s="328">
        <f>'1. Detailed Budget POA'!V21</f>
        <v>0</v>
      </c>
      <c r="F230" s="8"/>
      <c r="G230" s="328">
        <f t="shared" si="5"/>
        <v>0</v>
      </c>
      <c r="H230" s="771"/>
      <c r="I230" s="771" t="s">
        <v>305</v>
      </c>
      <c r="J230" s="771" t="s">
        <v>308</v>
      </c>
      <c r="K230" s="771"/>
      <c r="L230" s="771"/>
      <c r="M230" s="8"/>
    </row>
    <row r="231" spans="1:13" ht="26.45" hidden="1" outlineLevel="1">
      <c r="A231" s="771">
        <v>9</v>
      </c>
      <c r="B231" s="327">
        <f>'1. Detailed Budget POA'!S22</f>
        <v>0</v>
      </c>
      <c r="C231" s="771" t="s">
        <v>303</v>
      </c>
      <c r="D231" s="771" t="s">
        <v>304</v>
      </c>
      <c r="E231" s="328">
        <f>'1. Detailed Budget POA'!V22</f>
        <v>0</v>
      </c>
      <c r="F231" s="8"/>
      <c r="G231" s="328">
        <f t="shared" si="5"/>
        <v>0</v>
      </c>
      <c r="H231" s="771"/>
      <c r="I231" s="771" t="s">
        <v>305</v>
      </c>
      <c r="J231" s="771" t="s">
        <v>308</v>
      </c>
      <c r="K231" s="771"/>
      <c r="L231" s="771"/>
      <c r="M231" s="8"/>
    </row>
    <row r="232" spans="1:13" ht="26.45" hidden="1" outlineLevel="1">
      <c r="A232" s="771">
        <v>10</v>
      </c>
      <c r="B232" s="327">
        <f>'1. Detailed Budget POA'!S24</f>
        <v>0</v>
      </c>
      <c r="C232" s="771" t="s">
        <v>303</v>
      </c>
      <c r="D232" s="771" t="s">
        <v>304</v>
      </c>
      <c r="E232" s="328">
        <f>'1. Detailed Budget POA'!V24</f>
        <v>0</v>
      </c>
      <c r="F232" s="8"/>
      <c r="G232" s="328">
        <f t="shared" si="5"/>
        <v>0</v>
      </c>
      <c r="H232" s="771"/>
      <c r="I232" s="771" t="s">
        <v>305</v>
      </c>
      <c r="J232" s="771" t="s">
        <v>308</v>
      </c>
      <c r="K232" s="771"/>
      <c r="L232" s="771"/>
      <c r="M232" s="8"/>
    </row>
    <row r="233" spans="1:13" ht="26.45" collapsed="1">
      <c r="A233" s="771">
        <v>5</v>
      </c>
      <c r="B233" s="327" t="e">
        <f>'1. Detailed Budget POA'!#REF!</f>
        <v>#REF!</v>
      </c>
      <c r="C233" s="771" t="s">
        <v>303</v>
      </c>
      <c r="D233" s="771" t="s">
        <v>304</v>
      </c>
      <c r="E233" s="328" t="e">
        <f>'1. Detailed Budget POA'!#REF!</f>
        <v>#REF!</v>
      </c>
      <c r="F233" s="8"/>
      <c r="G233" s="328" t="e">
        <f t="shared" si="5"/>
        <v>#REF!</v>
      </c>
      <c r="H233" s="771">
        <v>1.3</v>
      </c>
      <c r="I233" s="771" t="s">
        <v>305</v>
      </c>
      <c r="J233" s="771" t="s">
        <v>308</v>
      </c>
      <c r="K233" s="771">
        <v>2019</v>
      </c>
      <c r="L233" s="771">
        <v>2020</v>
      </c>
      <c r="M233" s="8"/>
    </row>
    <row r="234" spans="1:13" ht="26.45">
      <c r="A234" s="771">
        <v>6</v>
      </c>
      <c r="B234" s="327" t="e">
        <f>'1. Detailed Budget POA'!#REF!</f>
        <v>#REF!</v>
      </c>
      <c r="C234" s="771" t="s">
        <v>303</v>
      </c>
      <c r="D234" s="771" t="s">
        <v>304</v>
      </c>
      <c r="E234" s="328" t="e">
        <f>'1. Detailed Budget POA'!#REF!</f>
        <v>#REF!</v>
      </c>
      <c r="F234" s="8"/>
      <c r="G234" s="328" t="e">
        <f t="shared" si="5"/>
        <v>#REF!</v>
      </c>
      <c r="H234" s="771">
        <v>1.3</v>
      </c>
      <c r="I234" s="771" t="s">
        <v>305</v>
      </c>
      <c r="J234" s="771" t="s">
        <v>308</v>
      </c>
      <c r="K234" s="771">
        <v>2020</v>
      </c>
      <c r="L234" s="771">
        <v>2021</v>
      </c>
      <c r="M234" s="8"/>
    </row>
    <row r="235" spans="1:13" ht="26.45">
      <c r="A235" s="771">
        <v>7</v>
      </c>
      <c r="B235" s="327" t="e">
        <f>'1. Detailed Budget POA'!#REF!</f>
        <v>#REF!</v>
      </c>
      <c r="C235" s="771" t="s">
        <v>303</v>
      </c>
      <c r="D235" s="771" t="s">
        <v>304</v>
      </c>
      <c r="E235" s="328" t="e">
        <f>'1. Detailed Budget POA'!#REF!</f>
        <v>#REF!</v>
      </c>
      <c r="F235" s="8"/>
      <c r="G235" s="328" t="e">
        <f t="shared" si="5"/>
        <v>#REF!</v>
      </c>
      <c r="H235" s="771">
        <v>1.3</v>
      </c>
      <c r="I235" s="771" t="s">
        <v>305</v>
      </c>
      <c r="J235" s="771" t="s">
        <v>308</v>
      </c>
      <c r="K235" s="771">
        <v>2020</v>
      </c>
      <c r="L235" s="771">
        <v>2021</v>
      </c>
      <c r="M235" s="8"/>
    </row>
    <row r="236" spans="1:13" ht="26.45">
      <c r="A236" s="771">
        <v>8</v>
      </c>
      <c r="B236" s="327" t="e">
        <f>'1. Detailed Budget POA'!#REF!</f>
        <v>#REF!</v>
      </c>
      <c r="C236" s="771" t="s">
        <v>303</v>
      </c>
      <c r="D236" s="771" t="s">
        <v>304</v>
      </c>
      <c r="E236" s="328" t="e">
        <f>'1. Detailed Budget POA'!#REF!</f>
        <v>#REF!</v>
      </c>
      <c r="F236" s="8"/>
      <c r="G236" s="328" t="e">
        <f t="shared" si="5"/>
        <v>#REF!</v>
      </c>
      <c r="H236" s="771">
        <v>1.3</v>
      </c>
      <c r="I236" s="771" t="s">
        <v>305</v>
      </c>
      <c r="J236" s="771" t="s">
        <v>308</v>
      </c>
      <c r="K236" s="771">
        <v>2021</v>
      </c>
      <c r="L236" s="771">
        <v>2022</v>
      </c>
      <c r="M236" s="8"/>
    </row>
    <row r="237" spans="1:13" ht="26.45" hidden="1" outlineLevel="1">
      <c r="A237" s="771">
        <v>15</v>
      </c>
      <c r="B237" s="327" t="e">
        <f>'1. Detailed Budget POA'!#REF!</f>
        <v>#REF!</v>
      </c>
      <c r="C237" s="771" t="s">
        <v>303</v>
      </c>
      <c r="D237" s="771" t="s">
        <v>304</v>
      </c>
      <c r="E237" s="328" t="e">
        <f>'1. Detailed Budget POA'!#REF!</f>
        <v>#REF!</v>
      </c>
      <c r="F237" s="8"/>
      <c r="G237" s="328" t="e">
        <f t="shared" si="5"/>
        <v>#REF!</v>
      </c>
      <c r="H237" s="771"/>
      <c r="I237" s="771" t="s">
        <v>305</v>
      </c>
      <c r="J237" s="771" t="s">
        <v>308</v>
      </c>
      <c r="K237" s="771">
        <v>2021</v>
      </c>
      <c r="L237" s="771">
        <v>2022</v>
      </c>
      <c r="M237" s="8"/>
    </row>
    <row r="238" spans="1:13" ht="26.45" hidden="1" outlineLevel="1">
      <c r="A238" s="771">
        <v>16</v>
      </c>
      <c r="B238" s="327" t="e">
        <f>'1. Detailed Budget POA'!#REF!</f>
        <v>#REF!</v>
      </c>
      <c r="C238" s="771" t="s">
        <v>303</v>
      </c>
      <c r="D238" s="771" t="s">
        <v>304</v>
      </c>
      <c r="E238" s="328" t="e">
        <f>'1. Detailed Budget POA'!#REF!</f>
        <v>#REF!</v>
      </c>
      <c r="F238" s="8"/>
      <c r="G238" s="328" t="e">
        <f t="shared" si="5"/>
        <v>#REF!</v>
      </c>
      <c r="H238" s="771"/>
      <c r="I238" s="771" t="s">
        <v>305</v>
      </c>
      <c r="J238" s="771" t="s">
        <v>308</v>
      </c>
      <c r="K238" s="771">
        <v>2021</v>
      </c>
      <c r="L238" s="771">
        <v>2022</v>
      </c>
      <c r="M238" s="8"/>
    </row>
    <row r="239" spans="1:13" ht="26.45" hidden="1" outlineLevel="1">
      <c r="A239" s="771">
        <v>17</v>
      </c>
      <c r="B239" s="327" t="e">
        <f>'1. Detailed Budget POA'!#REF!</f>
        <v>#REF!</v>
      </c>
      <c r="C239" s="771" t="s">
        <v>303</v>
      </c>
      <c r="D239" s="771" t="s">
        <v>304</v>
      </c>
      <c r="E239" s="328" t="e">
        <f>'1. Detailed Budget POA'!#REF!</f>
        <v>#REF!</v>
      </c>
      <c r="F239" s="8"/>
      <c r="G239" s="328" t="e">
        <f t="shared" si="5"/>
        <v>#REF!</v>
      </c>
      <c r="H239" s="771"/>
      <c r="I239" s="771" t="s">
        <v>305</v>
      </c>
      <c r="J239" s="771" t="s">
        <v>308</v>
      </c>
      <c r="K239" s="771">
        <v>2021</v>
      </c>
      <c r="L239" s="771">
        <v>2022</v>
      </c>
      <c r="M239" s="8"/>
    </row>
    <row r="240" spans="1:13" ht="26.45" collapsed="1">
      <c r="A240" s="771">
        <v>9</v>
      </c>
      <c r="B240" s="327" t="e">
        <f>'1. Detailed Budget POA'!#REF!</f>
        <v>#REF!</v>
      </c>
      <c r="C240" s="771" t="s">
        <v>303</v>
      </c>
      <c r="D240" s="771" t="s">
        <v>304</v>
      </c>
      <c r="E240" s="328" t="e">
        <f>'1. Detailed Budget POA'!#REF!</f>
        <v>#REF!</v>
      </c>
      <c r="F240" s="8"/>
      <c r="G240" s="328" t="e">
        <f>SUM(E240:F240)</f>
        <v>#REF!</v>
      </c>
      <c r="H240" s="771">
        <v>1.3</v>
      </c>
      <c r="I240" s="771" t="s">
        <v>305</v>
      </c>
      <c r="J240" s="771" t="s">
        <v>308</v>
      </c>
      <c r="K240" s="771">
        <v>2021</v>
      </c>
      <c r="L240" s="771">
        <v>2022</v>
      </c>
      <c r="M240" s="8"/>
    </row>
    <row r="241" spans="1:13" ht="26.45" hidden="1" outlineLevel="1">
      <c r="A241" s="771">
        <v>19</v>
      </c>
      <c r="B241" s="327" t="e">
        <f>'1. Detailed Budget POA'!#REF!</f>
        <v>#REF!</v>
      </c>
      <c r="C241" s="771" t="s">
        <v>303</v>
      </c>
      <c r="D241" s="771" t="s">
        <v>304</v>
      </c>
      <c r="E241" s="328" t="e">
        <f>'1. Detailed Budget POA'!#REF!</f>
        <v>#REF!</v>
      </c>
      <c r="F241" s="8"/>
      <c r="G241" s="328" t="e">
        <f>SUM(E241:F241)</f>
        <v>#REF!</v>
      </c>
      <c r="H241" s="771"/>
      <c r="I241" s="771" t="s">
        <v>305</v>
      </c>
      <c r="J241" s="771" t="s">
        <v>308</v>
      </c>
      <c r="K241" s="771">
        <v>2021</v>
      </c>
      <c r="L241" s="771">
        <v>2022</v>
      </c>
      <c r="M241" s="8"/>
    </row>
    <row r="242" spans="1:13" ht="26.45" hidden="1" outlineLevel="1">
      <c r="A242" s="771">
        <v>20</v>
      </c>
      <c r="B242" s="327" t="e">
        <f>'1. Detailed Budget POA'!#REF!</f>
        <v>#REF!</v>
      </c>
      <c r="C242" s="771" t="s">
        <v>303</v>
      </c>
      <c r="D242" s="771" t="s">
        <v>304</v>
      </c>
      <c r="E242" s="328" t="e">
        <f>'1. Detailed Budget POA'!#REF!</f>
        <v>#REF!</v>
      </c>
      <c r="F242" s="8"/>
      <c r="G242" s="328" t="e">
        <f t="shared" si="5"/>
        <v>#REF!</v>
      </c>
      <c r="H242" s="771"/>
      <c r="I242" s="771" t="s">
        <v>305</v>
      </c>
      <c r="J242" s="771" t="s">
        <v>308</v>
      </c>
      <c r="K242" s="771"/>
      <c r="L242" s="771"/>
      <c r="M242" s="8"/>
    </row>
    <row r="243" spans="1:13" ht="26.45" hidden="1" outlineLevel="1">
      <c r="A243" s="771">
        <v>21</v>
      </c>
      <c r="B243" s="327" t="e">
        <f>'1. Detailed Budget POA'!#REF!</f>
        <v>#REF!</v>
      </c>
      <c r="C243" s="771" t="s">
        <v>303</v>
      </c>
      <c r="D243" s="771" t="s">
        <v>304</v>
      </c>
      <c r="E243" s="328" t="e">
        <f>'1. Detailed Budget POA'!#REF!</f>
        <v>#REF!</v>
      </c>
      <c r="F243" s="8"/>
      <c r="G243" s="328" t="e">
        <f t="shared" si="5"/>
        <v>#REF!</v>
      </c>
      <c r="H243" s="771"/>
      <c r="I243" s="771" t="s">
        <v>305</v>
      </c>
      <c r="J243" s="771" t="s">
        <v>308</v>
      </c>
      <c r="K243" s="771"/>
      <c r="L243" s="771"/>
      <c r="M243" s="8"/>
    </row>
    <row r="244" spans="1:13" ht="26.45" hidden="1" outlineLevel="1">
      <c r="A244" s="771">
        <v>22</v>
      </c>
      <c r="B244" s="327" t="e">
        <f>'1. Detailed Budget POA'!#REF!</f>
        <v>#REF!</v>
      </c>
      <c r="C244" s="771" t="s">
        <v>303</v>
      </c>
      <c r="D244" s="771" t="s">
        <v>304</v>
      </c>
      <c r="E244" s="328" t="e">
        <f>'1. Detailed Budget POA'!#REF!</f>
        <v>#REF!</v>
      </c>
      <c r="F244" s="8"/>
      <c r="G244" s="328" t="e">
        <f t="shared" si="5"/>
        <v>#REF!</v>
      </c>
      <c r="H244" s="771"/>
      <c r="I244" s="771" t="s">
        <v>305</v>
      </c>
      <c r="J244" s="771" t="s">
        <v>308</v>
      </c>
      <c r="K244" s="771"/>
      <c r="L244" s="771"/>
      <c r="M244" s="8"/>
    </row>
    <row r="245" spans="1:13" ht="26.45" hidden="1" outlineLevel="1">
      <c r="A245" s="771">
        <v>23</v>
      </c>
      <c r="B245" s="327">
        <f>'1. Detailed Budget POA'!S37</f>
        <v>0</v>
      </c>
      <c r="C245" s="771" t="s">
        <v>303</v>
      </c>
      <c r="D245" s="771" t="s">
        <v>304</v>
      </c>
      <c r="E245" s="328">
        <f>'1. Detailed Budget POA'!V37</f>
        <v>0</v>
      </c>
      <c r="F245" s="8"/>
      <c r="G245" s="328">
        <f t="shared" si="5"/>
        <v>0</v>
      </c>
      <c r="H245" s="771"/>
      <c r="I245" s="771" t="s">
        <v>305</v>
      </c>
      <c r="J245" s="771" t="s">
        <v>308</v>
      </c>
      <c r="K245" s="771"/>
      <c r="L245" s="771"/>
      <c r="M245" s="8"/>
    </row>
    <row r="246" spans="1:13" ht="26.45" hidden="1" outlineLevel="1">
      <c r="A246" s="771">
        <v>24</v>
      </c>
      <c r="B246" s="327">
        <f>'1. Detailed Budget POA'!S38</f>
        <v>0</v>
      </c>
      <c r="C246" s="771" t="s">
        <v>303</v>
      </c>
      <c r="D246" s="771" t="s">
        <v>304</v>
      </c>
      <c r="E246" s="328">
        <f>'1. Detailed Budget POA'!V38</f>
        <v>0</v>
      </c>
      <c r="F246" s="8"/>
      <c r="G246" s="328">
        <f t="shared" si="5"/>
        <v>0</v>
      </c>
      <c r="H246" s="771"/>
      <c r="I246" s="771" t="s">
        <v>305</v>
      </c>
      <c r="J246" s="771" t="s">
        <v>308</v>
      </c>
      <c r="K246" s="771"/>
      <c r="L246" s="771"/>
      <c r="M246" s="8"/>
    </row>
    <row r="247" spans="1:13" ht="26.45" hidden="1" outlineLevel="1">
      <c r="A247" s="771">
        <v>25</v>
      </c>
      <c r="B247" s="327" t="e">
        <f>'1. Detailed Budget POA'!#REF!</f>
        <v>#REF!</v>
      </c>
      <c r="C247" s="771" t="s">
        <v>303</v>
      </c>
      <c r="D247" s="771" t="s">
        <v>304</v>
      </c>
      <c r="E247" s="328" t="e">
        <f>'1. Detailed Budget POA'!#REF!</f>
        <v>#REF!</v>
      </c>
      <c r="F247" s="8"/>
      <c r="G247" s="328" t="e">
        <f t="shared" si="5"/>
        <v>#REF!</v>
      </c>
      <c r="H247" s="771"/>
      <c r="I247" s="771" t="s">
        <v>305</v>
      </c>
      <c r="J247" s="771" t="s">
        <v>308</v>
      </c>
      <c r="K247" s="771"/>
      <c r="L247" s="771"/>
      <c r="M247" s="8"/>
    </row>
    <row r="248" spans="1:13" ht="26.45" collapsed="1">
      <c r="A248" s="771">
        <v>10</v>
      </c>
      <c r="B248" s="327" t="e">
        <f>'1. Detailed Budget POA'!#REF!</f>
        <v>#REF!</v>
      </c>
      <c r="C248" s="771" t="s">
        <v>303</v>
      </c>
      <c r="D248" s="771" t="s">
        <v>304</v>
      </c>
      <c r="E248" s="328" t="e">
        <f>'1. Detailed Budget POA'!#REF!</f>
        <v>#REF!</v>
      </c>
      <c r="F248" s="8"/>
      <c r="G248" s="328" t="e">
        <f t="shared" si="5"/>
        <v>#REF!</v>
      </c>
      <c r="H248" s="771">
        <v>2.1</v>
      </c>
      <c r="I248" s="771" t="s">
        <v>305</v>
      </c>
      <c r="J248" s="771" t="s">
        <v>308</v>
      </c>
      <c r="K248" s="771">
        <v>2019</v>
      </c>
      <c r="L248" s="771">
        <v>2020</v>
      </c>
      <c r="M248" s="8"/>
    </row>
    <row r="249" spans="1:13" ht="26.45">
      <c r="A249" s="771">
        <v>11</v>
      </c>
      <c r="B249" s="327" t="e">
        <f>'1. Detailed Budget POA'!#REF!</f>
        <v>#REF!</v>
      </c>
      <c r="C249" s="771" t="s">
        <v>303</v>
      </c>
      <c r="D249" s="771" t="s">
        <v>304</v>
      </c>
      <c r="E249" s="328" t="e">
        <f>'1. Detailed Budget POA'!#REF!</f>
        <v>#REF!</v>
      </c>
      <c r="F249" s="8"/>
      <c r="G249" s="328" t="e">
        <f t="shared" si="5"/>
        <v>#REF!</v>
      </c>
      <c r="H249" s="771">
        <v>2.1</v>
      </c>
      <c r="I249" s="771" t="s">
        <v>305</v>
      </c>
      <c r="J249" s="771" t="s">
        <v>308</v>
      </c>
      <c r="K249" s="771">
        <v>2020</v>
      </c>
      <c r="L249" s="771">
        <v>2023</v>
      </c>
      <c r="M249" s="8"/>
    </row>
    <row r="250" spans="1:13" ht="26.45">
      <c r="A250" s="771">
        <v>12</v>
      </c>
      <c r="B250" s="327" t="e">
        <f>'1. Detailed Budget POA'!#REF!</f>
        <v>#REF!</v>
      </c>
      <c r="C250" s="771" t="s">
        <v>303</v>
      </c>
      <c r="D250" s="771" t="s">
        <v>304</v>
      </c>
      <c r="E250" s="328" t="e">
        <f>'1. Detailed Budget POA'!#REF!</f>
        <v>#REF!</v>
      </c>
      <c r="F250" s="8"/>
      <c r="G250" s="328" t="e">
        <f t="shared" si="5"/>
        <v>#REF!</v>
      </c>
      <c r="H250" s="771">
        <v>2.1</v>
      </c>
      <c r="I250" s="771" t="s">
        <v>305</v>
      </c>
      <c r="J250" s="771" t="s">
        <v>308</v>
      </c>
      <c r="K250" s="771">
        <v>2020</v>
      </c>
      <c r="L250" s="771">
        <v>2023</v>
      </c>
      <c r="M250" s="8"/>
    </row>
    <row r="251" spans="1:13" ht="26.45" hidden="1" outlineLevel="1">
      <c r="A251" s="771">
        <v>38</v>
      </c>
      <c r="B251" s="327" t="e">
        <f>'1. Detailed Budget POA'!#REF!</f>
        <v>#REF!</v>
      </c>
      <c r="C251" s="771" t="s">
        <v>303</v>
      </c>
      <c r="D251" s="771" t="s">
        <v>304</v>
      </c>
      <c r="E251" s="328" t="e">
        <f>'1. Detailed Budget POA'!#REF!</f>
        <v>#REF!</v>
      </c>
      <c r="F251" s="8"/>
      <c r="G251" s="328" t="e">
        <f t="shared" si="5"/>
        <v>#REF!</v>
      </c>
      <c r="H251" s="771"/>
      <c r="I251" s="771" t="s">
        <v>305</v>
      </c>
      <c r="J251" s="771" t="s">
        <v>308</v>
      </c>
      <c r="K251" s="771"/>
      <c r="L251" s="771"/>
      <c r="M251" s="8"/>
    </row>
    <row r="252" spans="1:13" ht="26.45" hidden="1" outlineLevel="1">
      <c r="A252" s="771">
        <v>39</v>
      </c>
      <c r="B252" s="327" t="e">
        <f>'1. Detailed Budget POA'!#REF!</f>
        <v>#REF!</v>
      </c>
      <c r="C252" s="771" t="s">
        <v>303</v>
      </c>
      <c r="D252" s="771" t="s">
        <v>304</v>
      </c>
      <c r="E252" s="328" t="e">
        <f>'1. Detailed Budget POA'!#REF!</f>
        <v>#REF!</v>
      </c>
      <c r="F252" s="8"/>
      <c r="G252" s="328" t="e">
        <f t="shared" si="5"/>
        <v>#REF!</v>
      </c>
      <c r="H252" s="771"/>
      <c r="I252" s="771" t="s">
        <v>305</v>
      </c>
      <c r="J252" s="771" t="s">
        <v>308</v>
      </c>
      <c r="K252" s="771"/>
      <c r="L252" s="771"/>
      <c r="M252" s="8"/>
    </row>
    <row r="253" spans="1:13" ht="26.45" collapsed="1">
      <c r="A253" s="771">
        <v>13</v>
      </c>
      <c r="B253" s="327" t="e">
        <f>'1. Detailed Budget POA'!#REF!</f>
        <v>#REF!</v>
      </c>
      <c r="C253" s="771" t="s">
        <v>303</v>
      </c>
      <c r="D253" s="771" t="s">
        <v>304</v>
      </c>
      <c r="E253" s="328" t="e">
        <f>'1. Detailed Budget POA'!#REF!</f>
        <v>#REF!</v>
      </c>
      <c r="F253" s="8"/>
      <c r="G253" s="328" t="e">
        <f t="shared" si="5"/>
        <v>#REF!</v>
      </c>
      <c r="H253" s="771">
        <v>2.1</v>
      </c>
      <c r="I253" s="771" t="s">
        <v>305</v>
      </c>
      <c r="J253" s="771" t="s">
        <v>308</v>
      </c>
      <c r="K253" s="771">
        <v>2020</v>
      </c>
      <c r="L253" s="771">
        <v>2021</v>
      </c>
      <c r="M253" s="8"/>
    </row>
    <row r="254" spans="1:13" ht="26.45">
      <c r="A254" s="771">
        <v>14</v>
      </c>
      <c r="B254" s="327" t="e">
        <f>'1. Detailed Budget POA'!#REF!</f>
        <v>#REF!</v>
      </c>
      <c r="C254" s="771" t="s">
        <v>303</v>
      </c>
      <c r="D254" s="771" t="s">
        <v>304</v>
      </c>
      <c r="E254" s="328" t="e">
        <f>'1. Detailed Budget POA'!#REF!</f>
        <v>#REF!</v>
      </c>
      <c r="F254" s="8"/>
      <c r="G254" s="328" t="e">
        <f t="shared" si="5"/>
        <v>#REF!</v>
      </c>
      <c r="H254" s="771">
        <v>2.1</v>
      </c>
      <c r="I254" s="771" t="s">
        <v>305</v>
      </c>
      <c r="J254" s="771" t="s">
        <v>308</v>
      </c>
      <c r="K254" s="771">
        <v>2020</v>
      </c>
      <c r="L254" s="771">
        <v>2021</v>
      </c>
      <c r="M254" s="8"/>
    </row>
    <row r="255" spans="1:13" ht="26.45">
      <c r="A255" s="771">
        <v>15</v>
      </c>
      <c r="B255" s="327" t="e">
        <f>'1. Detailed Budget POA'!#REF!</f>
        <v>#REF!</v>
      </c>
      <c r="C255" s="771" t="s">
        <v>303</v>
      </c>
      <c r="D255" s="771" t="s">
        <v>304</v>
      </c>
      <c r="E255" s="328" t="e">
        <f>'1. Detailed Budget POA'!#REF!</f>
        <v>#REF!</v>
      </c>
      <c r="F255" s="8"/>
      <c r="G255" s="328" t="e">
        <f>SUM(E255:F255)</f>
        <v>#REF!</v>
      </c>
      <c r="H255" s="771">
        <v>2.1</v>
      </c>
      <c r="I255" s="771" t="s">
        <v>305</v>
      </c>
      <c r="J255" s="771" t="s">
        <v>308</v>
      </c>
      <c r="K255" s="771">
        <v>2019</v>
      </c>
      <c r="L255" s="771">
        <v>2020</v>
      </c>
      <c r="M255" s="8"/>
    </row>
    <row r="256" spans="1:13" hidden="1" outlineLevel="1">
      <c r="A256" s="771"/>
      <c r="B256" s="327" t="e">
        <f>'1. Detailed Budget POA'!#REF!</f>
        <v>#REF!</v>
      </c>
      <c r="C256" s="771"/>
      <c r="D256" s="771"/>
      <c r="E256" s="328"/>
      <c r="F256" s="8"/>
      <c r="G256" s="328"/>
      <c r="H256" s="771"/>
      <c r="I256" s="771"/>
      <c r="J256" s="771"/>
      <c r="K256" s="771"/>
      <c r="L256" s="771"/>
      <c r="M256" s="8"/>
    </row>
    <row r="257" spans="1:13" ht="26.45" hidden="1" outlineLevel="1">
      <c r="A257" s="771">
        <v>42</v>
      </c>
      <c r="B257" s="327" t="e">
        <f>'1. Detailed Budget POA'!#REF!</f>
        <v>#REF!</v>
      </c>
      <c r="C257" s="771" t="s">
        <v>303</v>
      </c>
      <c r="D257" s="771" t="s">
        <v>304</v>
      </c>
      <c r="E257" s="328" t="e">
        <f>'1. Detailed Budget POA'!#REF!</f>
        <v>#REF!</v>
      </c>
      <c r="F257" s="8"/>
      <c r="G257" s="328" t="e">
        <f t="shared" si="5"/>
        <v>#REF!</v>
      </c>
      <c r="H257" s="771"/>
      <c r="I257" s="771" t="s">
        <v>305</v>
      </c>
      <c r="J257" s="771" t="s">
        <v>308</v>
      </c>
      <c r="K257" s="771"/>
      <c r="L257" s="771"/>
      <c r="M257" s="8"/>
    </row>
    <row r="258" spans="1:13" ht="26.45" collapsed="1">
      <c r="A258" s="771">
        <v>16</v>
      </c>
      <c r="B258" s="327" t="str">
        <f>'1. Detailed Budget POA'!S39</f>
        <v>Seminarios para diseminar la estrategia de implantación del sistema</v>
      </c>
      <c r="C258" s="771" t="s">
        <v>303</v>
      </c>
      <c r="D258" s="771" t="s">
        <v>304</v>
      </c>
      <c r="E258" s="328">
        <f>'1. Detailed Budget POA'!V39</f>
        <v>10000</v>
      </c>
      <c r="F258" s="8"/>
      <c r="G258" s="328">
        <f t="shared" si="5"/>
        <v>10000</v>
      </c>
      <c r="H258" s="771">
        <v>2.2000000000000002</v>
      </c>
      <c r="I258" s="771" t="s">
        <v>305</v>
      </c>
      <c r="J258" s="771" t="s">
        <v>308</v>
      </c>
      <c r="K258" s="771">
        <v>2020</v>
      </c>
      <c r="L258" s="771">
        <v>2020</v>
      </c>
      <c r="M258" s="8"/>
    </row>
    <row r="259" spans="1:13" ht="26.45" hidden="1" outlineLevel="1">
      <c r="A259" s="771">
        <v>44</v>
      </c>
      <c r="B259" s="327">
        <f>'1. Detailed Budget POA'!S40</f>
        <v>0</v>
      </c>
      <c r="C259" s="771" t="s">
        <v>303</v>
      </c>
      <c r="D259" s="771" t="s">
        <v>304</v>
      </c>
      <c r="E259" s="328">
        <f>'1. Detailed Budget POA'!V40</f>
        <v>0</v>
      </c>
      <c r="F259" s="8"/>
      <c r="G259" s="328">
        <f t="shared" si="5"/>
        <v>0</v>
      </c>
      <c r="H259" s="771"/>
      <c r="I259" s="771" t="s">
        <v>305</v>
      </c>
      <c r="J259" s="771" t="s">
        <v>308</v>
      </c>
      <c r="K259" s="771"/>
      <c r="L259" s="771"/>
      <c r="M259" s="8"/>
    </row>
    <row r="260" spans="1:13" ht="26.45" hidden="1" outlineLevel="1">
      <c r="A260" s="771"/>
      <c r="B260" s="327">
        <f>'1. Detailed Budget POA'!S41</f>
        <v>0</v>
      </c>
      <c r="C260" s="771" t="s">
        <v>303</v>
      </c>
      <c r="D260" s="771" t="s">
        <v>304</v>
      </c>
      <c r="E260" s="328">
        <f>'1. Detailed Budget POA'!V41</f>
        <v>0</v>
      </c>
      <c r="F260" s="8"/>
      <c r="G260" s="328">
        <f>SUM(E260:F260)</f>
        <v>0</v>
      </c>
      <c r="H260" s="771"/>
      <c r="I260" s="771" t="s">
        <v>305</v>
      </c>
      <c r="J260" s="771" t="s">
        <v>308</v>
      </c>
      <c r="K260" s="771"/>
      <c r="L260" s="771"/>
      <c r="M260" s="8"/>
    </row>
    <row r="261" spans="1:13" ht="26.45" hidden="1" outlineLevel="1">
      <c r="A261" s="771">
        <v>45</v>
      </c>
      <c r="B261" s="327">
        <f>'1. Detailed Budget POA'!S42</f>
        <v>0</v>
      </c>
      <c r="C261" s="771" t="s">
        <v>303</v>
      </c>
      <c r="D261" s="771" t="s">
        <v>304</v>
      </c>
      <c r="E261" s="328">
        <f>'1. Detailed Budget POA'!V42</f>
        <v>0</v>
      </c>
      <c r="F261" s="8"/>
      <c r="G261" s="328">
        <f t="shared" si="5"/>
        <v>0</v>
      </c>
      <c r="H261" s="771"/>
      <c r="I261" s="771" t="s">
        <v>305</v>
      </c>
      <c r="J261" s="771" t="s">
        <v>308</v>
      </c>
      <c r="K261" s="771"/>
      <c r="L261" s="771"/>
      <c r="M261" s="8"/>
    </row>
    <row r="262" spans="1:13" ht="26.45" hidden="1" outlineLevel="1">
      <c r="A262" s="771">
        <v>46</v>
      </c>
      <c r="B262" s="327">
        <f>'1. Detailed Budget POA'!S43</f>
        <v>0</v>
      </c>
      <c r="C262" s="771" t="s">
        <v>303</v>
      </c>
      <c r="D262" s="771" t="s">
        <v>304</v>
      </c>
      <c r="E262" s="328">
        <f>'1. Detailed Budget POA'!V43</f>
        <v>0</v>
      </c>
      <c r="F262" s="8"/>
      <c r="G262" s="328">
        <f t="shared" si="5"/>
        <v>0</v>
      </c>
      <c r="H262" s="771"/>
      <c r="I262" s="771" t="s">
        <v>305</v>
      </c>
      <c r="J262" s="771" t="s">
        <v>308</v>
      </c>
      <c r="K262" s="771"/>
      <c r="L262" s="771"/>
      <c r="M262" s="8"/>
    </row>
    <row r="263" spans="1:13" ht="26.45" hidden="1" outlineLevel="1">
      <c r="A263" s="771">
        <v>47</v>
      </c>
      <c r="B263" s="327">
        <f>'1. Detailed Budget POA'!S44</f>
        <v>0</v>
      </c>
      <c r="C263" s="771" t="s">
        <v>303</v>
      </c>
      <c r="D263" s="771" t="s">
        <v>304</v>
      </c>
      <c r="E263" s="328">
        <f>'1. Detailed Budget POA'!V44</f>
        <v>0</v>
      </c>
      <c r="F263" s="8"/>
      <c r="G263" s="328">
        <f t="shared" si="5"/>
        <v>0</v>
      </c>
      <c r="H263" s="771"/>
      <c r="I263" s="771" t="s">
        <v>305</v>
      </c>
      <c r="J263" s="771" t="s">
        <v>308</v>
      </c>
      <c r="K263" s="771"/>
      <c r="L263" s="771"/>
      <c r="M263" s="8"/>
    </row>
    <row r="264" spans="1:13" ht="26.45" hidden="1" outlineLevel="1">
      <c r="A264" s="771">
        <v>48</v>
      </c>
      <c r="B264" s="327" t="e">
        <f>'1. Detailed Budget POA'!#REF!</f>
        <v>#REF!</v>
      </c>
      <c r="C264" s="771" t="s">
        <v>303</v>
      </c>
      <c r="D264" s="771" t="s">
        <v>304</v>
      </c>
      <c r="E264" s="328" t="e">
        <f>'1. Detailed Budget POA'!#REF!</f>
        <v>#REF!</v>
      </c>
      <c r="F264" s="8"/>
      <c r="G264" s="328" t="e">
        <f t="shared" si="5"/>
        <v>#REF!</v>
      </c>
      <c r="H264" s="771"/>
      <c r="I264" s="771" t="s">
        <v>305</v>
      </c>
      <c r="J264" s="771" t="s">
        <v>308</v>
      </c>
      <c r="K264" s="771"/>
      <c r="L264" s="771"/>
      <c r="M264" s="8"/>
    </row>
    <row r="265" spans="1:13" ht="26.45" hidden="1" outlineLevel="1">
      <c r="A265" s="771">
        <v>49</v>
      </c>
      <c r="B265" s="327" t="e">
        <f>'1. Detailed Budget POA'!#REF!</f>
        <v>#REF!</v>
      </c>
      <c r="C265" s="771" t="s">
        <v>303</v>
      </c>
      <c r="D265" s="771" t="s">
        <v>304</v>
      </c>
      <c r="E265" s="328" t="e">
        <f>'1. Detailed Budget POA'!#REF!</f>
        <v>#REF!</v>
      </c>
      <c r="F265" s="8"/>
      <c r="G265" s="328" t="e">
        <f t="shared" si="5"/>
        <v>#REF!</v>
      </c>
      <c r="H265" s="771"/>
      <c r="I265" s="771" t="s">
        <v>305</v>
      </c>
      <c r="J265" s="771" t="s">
        <v>308</v>
      </c>
      <c r="K265" s="771"/>
      <c r="L265" s="771"/>
      <c r="M265" s="8"/>
    </row>
    <row r="266" spans="1:13" ht="26.45" hidden="1" outlineLevel="1">
      <c r="A266" s="771">
        <v>50</v>
      </c>
      <c r="B266" s="327" t="e">
        <f>'1. Detailed Budget POA'!#REF!</f>
        <v>#REF!</v>
      </c>
      <c r="C266" s="771" t="s">
        <v>303</v>
      </c>
      <c r="D266" s="771" t="s">
        <v>304</v>
      </c>
      <c r="E266" s="328" t="e">
        <f>'1. Detailed Budget POA'!#REF!</f>
        <v>#REF!</v>
      </c>
      <c r="F266" s="8"/>
      <c r="G266" s="328" t="e">
        <f t="shared" si="5"/>
        <v>#REF!</v>
      </c>
      <c r="H266" s="771"/>
      <c r="I266" s="771" t="s">
        <v>305</v>
      </c>
      <c r="J266" s="771" t="s">
        <v>308</v>
      </c>
      <c r="K266" s="771"/>
      <c r="L266" s="771"/>
      <c r="M266" s="8"/>
    </row>
    <row r="267" spans="1:13" ht="26.45" hidden="1" outlineLevel="1">
      <c r="A267" s="771">
        <v>51</v>
      </c>
      <c r="B267" s="327" t="e">
        <f>'1. Detailed Budget POA'!#REF!</f>
        <v>#REF!</v>
      </c>
      <c r="C267" s="771" t="s">
        <v>303</v>
      </c>
      <c r="D267" s="771" t="s">
        <v>304</v>
      </c>
      <c r="E267" s="328" t="e">
        <f>'1. Detailed Budget POA'!#REF!</f>
        <v>#REF!</v>
      </c>
      <c r="F267" s="8"/>
      <c r="G267" s="328" t="e">
        <f t="shared" si="5"/>
        <v>#REF!</v>
      </c>
      <c r="H267" s="771"/>
      <c r="I267" s="771" t="s">
        <v>305</v>
      </c>
      <c r="J267" s="771" t="s">
        <v>308</v>
      </c>
      <c r="K267" s="771"/>
      <c r="L267" s="771"/>
      <c r="M267" s="8"/>
    </row>
    <row r="268" spans="1:13" ht="26.45" hidden="1" outlineLevel="1">
      <c r="A268" s="771">
        <v>52</v>
      </c>
      <c r="B268" s="327" t="e">
        <f>'1. Detailed Budget POA'!#REF!</f>
        <v>#REF!</v>
      </c>
      <c r="C268" s="771" t="s">
        <v>303</v>
      </c>
      <c r="D268" s="771" t="s">
        <v>304</v>
      </c>
      <c r="E268" s="328" t="e">
        <f>'1. Detailed Budget POA'!#REF!</f>
        <v>#REF!</v>
      </c>
      <c r="F268" s="8"/>
      <c r="G268" s="328" t="e">
        <f t="shared" si="5"/>
        <v>#REF!</v>
      </c>
      <c r="H268" s="771"/>
      <c r="I268" s="771" t="s">
        <v>305</v>
      </c>
      <c r="J268" s="771" t="s">
        <v>308</v>
      </c>
      <c r="K268" s="771"/>
      <c r="L268" s="771"/>
      <c r="M268" s="8"/>
    </row>
    <row r="269" spans="1:13" ht="26.45" hidden="1" outlineLevel="1">
      <c r="A269" s="771">
        <v>53</v>
      </c>
      <c r="B269" s="327" t="e">
        <f>'1. Detailed Budget POA'!#REF!</f>
        <v>#REF!</v>
      </c>
      <c r="C269" s="771" t="s">
        <v>303</v>
      </c>
      <c r="D269" s="771" t="s">
        <v>304</v>
      </c>
      <c r="E269" s="328" t="e">
        <f>'1. Detailed Budget POA'!#REF!</f>
        <v>#REF!</v>
      </c>
      <c r="F269" s="8"/>
      <c r="G269" s="328" t="e">
        <f t="shared" si="5"/>
        <v>#REF!</v>
      </c>
      <c r="H269" s="771"/>
      <c r="I269" s="771" t="s">
        <v>305</v>
      </c>
      <c r="J269" s="771" t="s">
        <v>308</v>
      </c>
      <c r="K269" s="771"/>
      <c r="L269" s="771"/>
      <c r="M269" s="8"/>
    </row>
    <row r="270" spans="1:13" ht="26.45" hidden="1" outlineLevel="1">
      <c r="A270" s="771">
        <v>54</v>
      </c>
      <c r="B270" s="327" t="e">
        <f>'1. Detailed Budget POA'!#REF!</f>
        <v>#REF!</v>
      </c>
      <c r="C270" s="771" t="s">
        <v>303</v>
      </c>
      <c r="D270" s="771" t="s">
        <v>304</v>
      </c>
      <c r="E270" s="328" t="e">
        <f>'1. Detailed Budget POA'!#REF!</f>
        <v>#REF!</v>
      </c>
      <c r="F270" s="8"/>
      <c r="G270" s="328" t="e">
        <f t="shared" si="5"/>
        <v>#REF!</v>
      </c>
      <c r="H270" s="771"/>
      <c r="I270" s="771" t="s">
        <v>305</v>
      </c>
      <c r="J270" s="771" t="s">
        <v>308</v>
      </c>
      <c r="K270" s="771"/>
      <c r="L270" s="771"/>
      <c r="M270" s="8"/>
    </row>
    <row r="271" spans="1:13" ht="26.45" hidden="1" outlineLevel="1">
      <c r="A271" s="771">
        <v>55</v>
      </c>
      <c r="B271" s="327" t="e">
        <f>'1. Detailed Budget POA'!#REF!</f>
        <v>#REF!</v>
      </c>
      <c r="C271" s="771" t="s">
        <v>303</v>
      </c>
      <c r="D271" s="771" t="s">
        <v>304</v>
      </c>
      <c r="E271" s="328" t="e">
        <f>'1. Detailed Budget POA'!#REF!</f>
        <v>#REF!</v>
      </c>
      <c r="F271" s="8"/>
      <c r="G271" s="328" t="e">
        <f t="shared" si="5"/>
        <v>#REF!</v>
      </c>
      <c r="H271" s="771"/>
      <c r="I271" s="771" t="s">
        <v>305</v>
      </c>
      <c r="J271" s="771" t="s">
        <v>308</v>
      </c>
      <c r="K271" s="771"/>
      <c r="L271" s="771"/>
      <c r="M271" s="8"/>
    </row>
    <row r="272" spans="1:13" ht="26.45" hidden="1" outlineLevel="1">
      <c r="A272" s="771">
        <v>56</v>
      </c>
      <c r="B272" s="327" t="e">
        <f>'1. Detailed Budget POA'!#REF!</f>
        <v>#REF!</v>
      </c>
      <c r="C272" s="771" t="s">
        <v>303</v>
      </c>
      <c r="D272" s="771" t="s">
        <v>304</v>
      </c>
      <c r="E272" s="328" t="e">
        <f>'1. Detailed Budget POA'!#REF!</f>
        <v>#REF!</v>
      </c>
      <c r="F272" s="8"/>
      <c r="G272" s="328" t="e">
        <f t="shared" si="5"/>
        <v>#REF!</v>
      </c>
      <c r="H272" s="771"/>
      <c r="I272" s="771" t="s">
        <v>305</v>
      </c>
      <c r="J272" s="771" t="s">
        <v>308</v>
      </c>
      <c r="K272" s="771"/>
      <c r="L272" s="771"/>
      <c r="M272" s="8"/>
    </row>
    <row r="273" spans="1:13" ht="26.45" hidden="1" outlineLevel="1">
      <c r="A273" s="771">
        <v>57</v>
      </c>
      <c r="B273" s="327" t="e">
        <f>'1. Detailed Budget POA'!#REF!</f>
        <v>#REF!</v>
      </c>
      <c r="C273" s="771" t="s">
        <v>303</v>
      </c>
      <c r="D273" s="771" t="s">
        <v>304</v>
      </c>
      <c r="E273" s="328" t="e">
        <f>'1. Detailed Budget POA'!#REF!</f>
        <v>#REF!</v>
      </c>
      <c r="F273" s="8"/>
      <c r="G273" s="328" t="e">
        <f t="shared" si="5"/>
        <v>#REF!</v>
      </c>
      <c r="H273" s="771"/>
      <c r="I273" s="771" t="s">
        <v>305</v>
      </c>
      <c r="J273" s="771" t="s">
        <v>308</v>
      </c>
      <c r="K273" s="771"/>
      <c r="L273" s="771"/>
      <c r="M273" s="8"/>
    </row>
    <row r="274" spans="1:13" ht="26.45" collapsed="1">
      <c r="A274" s="771">
        <v>17</v>
      </c>
      <c r="B274" s="327" t="e">
        <f>'1. Detailed Budget POA'!#REF!</f>
        <v>#REF!</v>
      </c>
      <c r="C274" s="771" t="s">
        <v>303</v>
      </c>
      <c r="D274" s="771" t="s">
        <v>304</v>
      </c>
      <c r="E274" s="328" t="e">
        <f>'1. Detailed Budget POA'!#REF!</f>
        <v>#REF!</v>
      </c>
      <c r="F274" s="8"/>
      <c r="G274" s="328" t="e">
        <f t="shared" si="5"/>
        <v>#REF!</v>
      </c>
      <c r="H274" s="771"/>
      <c r="I274" s="771" t="s">
        <v>305</v>
      </c>
      <c r="J274" s="771" t="s">
        <v>308</v>
      </c>
      <c r="K274" s="771"/>
      <c r="L274" s="771"/>
      <c r="M274" s="8"/>
    </row>
    <row r="275" spans="1:13" ht="26.45" hidden="1" outlineLevel="1">
      <c r="A275" s="771">
        <v>59</v>
      </c>
      <c r="B275" s="327" t="e">
        <f>'1. Detailed Budget POA'!#REF!</f>
        <v>#REF!</v>
      </c>
      <c r="C275" s="771" t="s">
        <v>303</v>
      </c>
      <c r="D275" s="771" t="s">
        <v>304</v>
      </c>
      <c r="E275" s="328" t="e">
        <f>'1. Detailed Budget POA'!#REF!</f>
        <v>#REF!</v>
      </c>
      <c r="F275" s="8"/>
      <c r="G275" s="328" t="e">
        <f t="shared" si="5"/>
        <v>#REF!</v>
      </c>
      <c r="H275" s="771"/>
      <c r="I275" s="771" t="s">
        <v>305</v>
      </c>
      <c r="J275" s="771" t="s">
        <v>308</v>
      </c>
      <c r="K275" s="771"/>
      <c r="L275" s="771"/>
      <c r="M275" s="8"/>
    </row>
    <row r="276" spans="1:13" ht="26.45" hidden="1" outlineLevel="1">
      <c r="A276" s="771">
        <v>60</v>
      </c>
      <c r="B276" s="327" t="e">
        <f>'1. Detailed Budget POA'!#REF!</f>
        <v>#REF!</v>
      </c>
      <c r="C276" s="771" t="s">
        <v>303</v>
      </c>
      <c r="D276" s="771" t="s">
        <v>304</v>
      </c>
      <c r="E276" s="328" t="e">
        <f>'1. Detailed Budget POA'!#REF!</f>
        <v>#REF!</v>
      </c>
      <c r="F276" s="8"/>
      <c r="G276" s="328" t="e">
        <f t="shared" si="5"/>
        <v>#REF!</v>
      </c>
      <c r="H276" s="771"/>
      <c r="I276" s="771" t="s">
        <v>305</v>
      </c>
      <c r="J276" s="771" t="s">
        <v>308</v>
      </c>
      <c r="K276" s="771"/>
      <c r="L276" s="771"/>
      <c r="M276" s="8"/>
    </row>
    <row r="277" spans="1:13" ht="26.45" hidden="1" outlineLevel="1">
      <c r="A277" s="771">
        <v>61</v>
      </c>
      <c r="B277" s="327" t="e">
        <f>'1. Detailed Budget POA'!#REF!</f>
        <v>#REF!</v>
      </c>
      <c r="C277" s="771" t="s">
        <v>303</v>
      </c>
      <c r="D277" s="771" t="s">
        <v>304</v>
      </c>
      <c r="E277" s="328" t="e">
        <f>'1. Detailed Budget POA'!#REF!</f>
        <v>#REF!</v>
      </c>
      <c r="F277" s="8"/>
      <c r="G277" s="328" t="e">
        <f t="shared" si="5"/>
        <v>#REF!</v>
      </c>
      <c r="H277" s="771"/>
      <c r="I277" s="771" t="s">
        <v>305</v>
      </c>
      <c r="J277" s="771" t="s">
        <v>308</v>
      </c>
      <c r="K277" s="771"/>
      <c r="L277" s="771"/>
      <c r="M277" s="8"/>
    </row>
    <row r="278" spans="1:13" ht="26.45" hidden="1" outlineLevel="1">
      <c r="A278" s="771">
        <v>62</v>
      </c>
      <c r="B278" s="327" t="e">
        <f>'1. Detailed Budget POA'!#REF!</f>
        <v>#REF!</v>
      </c>
      <c r="C278" s="771" t="s">
        <v>303</v>
      </c>
      <c r="D278" s="771" t="s">
        <v>304</v>
      </c>
      <c r="E278" s="328" t="e">
        <f>'1. Detailed Budget POA'!#REF!</f>
        <v>#REF!</v>
      </c>
      <c r="F278" s="8"/>
      <c r="G278" s="328" t="e">
        <f t="shared" si="5"/>
        <v>#REF!</v>
      </c>
      <c r="H278" s="771"/>
      <c r="I278" s="771" t="s">
        <v>305</v>
      </c>
      <c r="J278" s="771" t="s">
        <v>308</v>
      </c>
      <c r="K278" s="771"/>
      <c r="L278" s="771"/>
      <c r="M278" s="8"/>
    </row>
    <row r="279" spans="1:13" ht="26.45" hidden="1" outlineLevel="1">
      <c r="A279" s="771">
        <v>63</v>
      </c>
      <c r="B279" s="327" t="e">
        <f>'1. Detailed Budget POA'!#REF!</f>
        <v>#REF!</v>
      </c>
      <c r="C279" s="771" t="s">
        <v>303</v>
      </c>
      <c r="D279" s="771" t="s">
        <v>304</v>
      </c>
      <c r="E279" s="328" t="e">
        <f>'1. Detailed Budget POA'!#REF!</f>
        <v>#REF!</v>
      </c>
      <c r="F279" s="8"/>
      <c r="G279" s="328" t="e">
        <f t="shared" si="5"/>
        <v>#REF!</v>
      </c>
      <c r="H279" s="771"/>
      <c r="I279" s="771" t="s">
        <v>305</v>
      </c>
      <c r="J279" s="771" t="s">
        <v>308</v>
      </c>
      <c r="K279" s="771"/>
      <c r="L279" s="771"/>
      <c r="M279" s="8"/>
    </row>
    <row r="280" spans="1:13" ht="26.45" hidden="1" outlineLevel="1">
      <c r="A280" s="771">
        <v>64</v>
      </c>
      <c r="B280" s="327" t="e">
        <f>'1. Detailed Budget POA'!#REF!</f>
        <v>#REF!</v>
      </c>
      <c r="C280" s="771" t="s">
        <v>303</v>
      </c>
      <c r="D280" s="771" t="s">
        <v>304</v>
      </c>
      <c r="E280" s="328" t="e">
        <f>'1. Detailed Budget POA'!#REF!</f>
        <v>#REF!</v>
      </c>
      <c r="F280" s="8"/>
      <c r="G280" s="328" t="e">
        <f t="shared" si="5"/>
        <v>#REF!</v>
      </c>
      <c r="H280" s="771"/>
      <c r="I280" s="771" t="s">
        <v>305</v>
      </c>
      <c r="J280" s="771" t="s">
        <v>308</v>
      </c>
      <c r="K280" s="771"/>
      <c r="L280" s="771"/>
      <c r="M280" s="8"/>
    </row>
    <row r="281" spans="1:13" ht="26.45" hidden="1" outlineLevel="1">
      <c r="A281" s="771">
        <v>65</v>
      </c>
      <c r="B281" s="327" t="e">
        <f>'1. Detailed Budget POA'!#REF!</f>
        <v>#REF!</v>
      </c>
      <c r="C281" s="771" t="s">
        <v>303</v>
      </c>
      <c r="D281" s="771" t="s">
        <v>304</v>
      </c>
      <c r="E281" s="328" t="e">
        <f>'1. Detailed Budget POA'!#REF!</f>
        <v>#REF!</v>
      </c>
      <c r="F281" s="8"/>
      <c r="G281" s="328" t="e">
        <f t="shared" si="5"/>
        <v>#REF!</v>
      </c>
      <c r="H281" s="771"/>
      <c r="I281" s="771" t="s">
        <v>305</v>
      </c>
      <c r="J281" s="771" t="s">
        <v>308</v>
      </c>
      <c r="K281" s="771"/>
      <c r="L281" s="771"/>
      <c r="M281" s="8"/>
    </row>
    <row r="282" spans="1:13" ht="26.45" hidden="1" outlineLevel="1">
      <c r="A282" s="771">
        <v>66</v>
      </c>
      <c r="B282" s="327" t="e">
        <f>'1. Detailed Budget POA'!#REF!</f>
        <v>#REF!</v>
      </c>
      <c r="C282" s="771" t="s">
        <v>303</v>
      </c>
      <c r="D282" s="771" t="s">
        <v>304</v>
      </c>
      <c r="E282" s="328" t="e">
        <f>'1. Detailed Budget POA'!#REF!</f>
        <v>#REF!</v>
      </c>
      <c r="F282" s="8"/>
      <c r="G282" s="328" t="e">
        <f t="shared" ref="G282:G323" si="6">SUM(E282:F282)</f>
        <v>#REF!</v>
      </c>
      <c r="H282" s="771"/>
      <c r="I282" s="771" t="s">
        <v>305</v>
      </c>
      <c r="J282" s="771" t="s">
        <v>308</v>
      </c>
      <c r="K282" s="771"/>
      <c r="L282" s="771"/>
      <c r="M282" s="8"/>
    </row>
    <row r="283" spans="1:13" ht="26.45" hidden="1" outlineLevel="1">
      <c r="A283" s="771">
        <v>67</v>
      </c>
      <c r="B283" s="327" t="e">
        <f>'1. Detailed Budget POA'!#REF!</f>
        <v>#REF!</v>
      </c>
      <c r="C283" s="771" t="s">
        <v>303</v>
      </c>
      <c r="D283" s="771" t="s">
        <v>304</v>
      </c>
      <c r="E283" s="328" t="e">
        <f>'1. Detailed Budget POA'!#REF!</f>
        <v>#REF!</v>
      </c>
      <c r="F283" s="8"/>
      <c r="G283" s="328" t="e">
        <f t="shared" si="6"/>
        <v>#REF!</v>
      </c>
      <c r="H283" s="771"/>
      <c r="I283" s="771" t="s">
        <v>305</v>
      </c>
      <c r="J283" s="771" t="s">
        <v>308</v>
      </c>
      <c r="K283" s="771"/>
      <c r="L283" s="771"/>
      <c r="M283" s="8"/>
    </row>
    <row r="284" spans="1:13" ht="26.45" hidden="1" outlineLevel="1">
      <c r="A284" s="771">
        <v>78</v>
      </c>
      <c r="B284" s="327" t="e">
        <f>'1. Detailed Budget POA'!#REF!</f>
        <v>#REF!</v>
      </c>
      <c r="C284" s="771" t="s">
        <v>303</v>
      </c>
      <c r="D284" s="771" t="s">
        <v>304</v>
      </c>
      <c r="E284" s="328" t="e">
        <f>'1. Detailed Budget POA'!#REF!</f>
        <v>#REF!</v>
      </c>
      <c r="F284" s="8"/>
      <c r="G284" s="328" t="e">
        <f t="shared" si="6"/>
        <v>#REF!</v>
      </c>
      <c r="H284" s="771"/>
      <c r="I284" s="771" t="s">
        <v>305</v>
      </c>
      <c r="J284" s="771" t="s">
        <v>308</v>
      </c>
      <c r="K284" s="771"/>
      <c r="L284" s="771"/>
      <c r="M284" s="8"/>
    </row>
    <row r="285" spans="1:13" ht="26.45" hidden="1" outlineLevel="1">
      <c r="A285" s="771">
        <v>85</v>
      </c>
      <c r="B285" s="327" t="e">
        <f>'1. Detailed Budget POA'!#REF!</f>
        <v>#REF!</v>
      </c>
      <c r="C285" s="771" t="s">
        <v>303</v>
      </c>
      <c r="D285" s="771" t="s">
        <v>304</v>
      </c>
      <c r="E285" s="328" t="e">
        <f>'1. Detailed Budget POA'!#REF!</f>
        <v>#REF!</v>
      </c>
      <c r="F285" s="8"/>
      <c r="G285" s="328" t="e">
        <f t="shared" si="6"/>
        <v>#REF!</v>
      </c>
      <c r="H285" s="771"/>
      <c r="I285" s="771" t="s">
        <v>305</v>
      </c>
      <c r="J285" s="771" t="s">
        <v>308</v>
      </c>
      <c r="K285" s="771"/>
      <c r="L285" s="771"/>
      <c r="M285" s="8"/>
    </row>
    <row r="286" spans="1:13" ht="26.45" hidden="1" outlineLevel="1">
      <c r="A286" s="771">
        <v>86</v>
      </c>
      <c r="B286" s="327" t="e">
        <f>'1. Detailed Budget POA'!#REF!</f>
        <v>#REF!</v>
      </c>
      <c r="C286" s="771" t="s">
        <v>303</v>
      </c>
      <c r="D286" s="771" t="s">
        <v>304</v>
      </c>
      <c r="E286" s="328" t="e">
        <f>'1. Detailed Budget POA'!#REF!</f>
        <v>#REF!</v>
      </c>
      <c r="F286" s="8"/>
      <c r="G286" s="328" t="e">
        <f t="shared" si="6"/>
        <v>#REF!</v>
      </c>
      <c r="H286" s="771"/>
      <c r="I286" s="771" t="s">
        <v>305</v>
      </c>
      <c r="J286" s="771" t="s">
        <v>308</v>
      </c>
      <c r="K286" s="771"/>
      <c r="L286" s="771"/>
      <c r="M286" s="8"/>
    </row>
    <row r="287" spans="1:13" ht="26.45" hidden="1" outlineLevel="1">
      <c r="A287" s="771">
        <v>87</v>
      </c>
      <c r="B287" s="327" t="e">
        <f>'1. Detailed Budget POA'!#REF!</f>
        <v>#REF!</v>
      </c>
      <c r="C287" s="771" t="s">
        <v>303</v>
      </c>
      <c r="D287" s="771" t="s">
        <v>304</v>
      </c>
      <c r="E287" s="328" t="e">
        <f>'1. Detailed Budget POA'!#REF!</f>
        <v>#REF!</v>
      </c>
      <c r="F287" s="8"/>
      <c r="G287" s="328" t="e">
        <f t="shared" si="6"/>
        <v>#REF!</v>
      </c>
      <c r="H287" s="771"/>
      <c r="I287" s="771" t="s">
        <v>305</v>
      </c>
      <c r="J287" s="771" t="s">
        <v>308</v>
      </c>
      <c r="K287" s="771"/>
      <c r="L287" s="771"/>
      <c r="M287" s="8"/>
    </row>
    <row r="288" spans="1:13" ht="26.45" hidden="1" outlineLevel="1">
      <c r="A288" s="771">
        <v>88</v>
      </c>
      <c r="B288" s="327" t="e">
        <f>'1. Detailed Budget POA'!#REF!</f>
        <v>#REF!</v>
      </c>
      <c r="C288" s="771" t="s">
        <v>303</v>
      </c>
      <c r="D288" s="771" t="s">
        <v>304</v>
      </c>
      <c r="E288" s="328" t="e">
        <f>'1. Detailed Budget POA'!#REF!</f>
        <v>#REF!</v>
      </c>
      <c r="F288" s="8"/>
      <c r="G288" s="328" t="e">
        <f t="shared" si="6"/>
        <v>#REF!</v>
      </c>
      <c r="H288" s="771"/>
      <c r="I288" s="771" t="s">
        <v>305</v>
      </c>
      <c r="J288" s="771" t="s">
        <v>308</v>
      </c>
      <c r="K288" s="771"/>
      <c r="L288" s="771"/>
      <c r="M288" s="8"/>
    </row>
    <row r="289" spans="1:13" ht="26.45" hidden="1" outlineLevel="1">
      <c r="A289" s="771">
        <v>89</v>
      </c>
      <c r="B289" s="327" t="e">
        <f>'1. Detailed Budget POA'!#REF!</f>
        <v>#REF!</v>
      </c>
      <c r="C289" s="771" t="s">
        <v>303</v>
      </c>
      <c r="D289" s="771" t="s">
        <v>304</v>
      </c>
      <c r="E289" s="328" t="e">
        <f>'1. Detailed Budget POA'!#REF!</f>
        <v>#REF!</v>
      </c>
      <c r="F289" s="8"/>
      <c r="G289" s="328" t="e">
        <f t="shared" si="6"/>
        <v>#REF!</v>
      </c>
      <c r="H289" s="771"/>
      <c r="I289" s="771" t="s">
        <v>305</v>
      </c>
      <c r="J289" s="771" t="s">
        <v>308</v>
      </c>
      <c r="K289" s="771"/>
      <c r="L289" s="771"/>
      <c r="M289" s="8"/>
    </row>
    <row r="290" spans="1:13" ht="26.45" hidden="1" outlineLevel="1">
      <c r="A290" s="771">
        <v>90</v>
      </c>
      <c r="B290" s="327" t="e">
        <f>'1. Detailed Budget POA'!#REF!</f>
        <v>#REF!</v>
      </c>
      <c r="C290" s="771" t="s">
        <v>303</v>
      </c>
      <c r="D290" s="771" t="s">
        <v>304</v>
      </c>
      <c r="E290" s="328" t="e">
        <f>'1. Detailed Budget POA'!#REF!</f>
        <v>#REF!</v>
      </c>
      <c r="F290" s="8"/>
      <c r="G290" s="328" t="e">
        <f t="shared" si="6"/>
        <v>#REF!</v>
      </c>
      <c r="H290" s="771"/>
      <c r="I290" s="771" t="s">
        <v>305</v>
      </c>
      <c r="J290" s="771" t="s">
        <v>308</v>
      </c>
      <c r="K290" s="771"/>
      <c r="L290" s="771"/>
      <c r="M290" s="8"/>
    </row>
    <row r="291" spans="1:13" ht="26.45" hidden="1" outlineLevel="1">
      <c r="A291" s="771">
        <v>91</v>
      </c>
      <c r="B291" s="327" t="e">
        <f>'1. Detailed Budget POA'!#REF!</f>
        <v>#REF!</v>
      </c>
      <c r="C291" s="771" t="s">
        <v>303</v>
      </c>
      <c r="D291" s="771" t="s">
        <v>304</v>
      </c>
      <c r="E291" s="328" t="e">
        <f>'1. Detailed Budget POA'!#REF!</f>
        <v>#REF!</v>
      </c>
      <c r="F291" s="8"/>
      <c r="G291" s="328" t="e">
        <f t="shared" si="6"/>
        <v>#REF!</v>
      </c>
      <c r="H291" s="771"/>
      <c r="I291" s="771" t="s">
        <v>305</v>
      </c>
      <c r="J291" s="771" t="s">
        <v>308</v>
      </c>
      <c r="K291" s="771"/>
      <c r="L291" s="771"/>
      <c r="M291" s="8"/>
    </row>
    <row r="292" spans="1:13" ht="26.45" hidden="1" outlineLevel="1">
      <c r="A292" s="771">
        <v>92</v>
      </c>
      <c r="B292" s="327" t="e">
        <f>'1. Detailed Budget POA'!#REF!</f>
        <v>#REF!</v>
      </c>
      <c r="C292" s="771" t="s">
        <v>303</v>
      </c>
      <c r="D292" s="771" t="s">
        <v>304</v>
      </c>
      <c r="E292" s="328" t="e">
        <f>'1. Detailed Budget POA'!#REF!</f>
        <v>#REF!</v>
      </c>
      <c r="F292" s="8"/>
      <c r="G292" s="328" t="e">
        <f t="shared" si="6"/>
        <v>#REF!</v>
      </c>
      <c r="H292" s="771"/>
      <c r="I292" s="771" t="s">
        <v>305</v>
      </c>
      <c r="J292" s="771" t="s">
        <v>308</v>
      </c>
      <c r="K292" s="771"/>
      <c r="L292" s="771"/>
      <c r="M292" s="8"/>
    </row>
    <row r="293" spans="1:13" ht="26.45" hidden="1" outlineLevel="1">
      <c r="A293" s="771">
        <v>93</v>
      </c>
      <c r="B293" s="327" t="e">
        <f>'1. Detailed Budget POA'!#REF!</f>
        <v>#REF!</v>
      </c>
      <c r="C293" s="771" t="s">
        <v>303</v>
      </c>
      <c r="D293" s="771" t="s">
        <v>304</v>
      </c>
      <c r="E293" s="328" t="e">
        <f>'1. Detailed Budget POA'!#REF!</f>
        <v>#REF!</v>
      </c>
      <c r="F293" s="8"/>
      <c r="G293" s="328" t="e">
        <f t="shared" si="6"/>
        <v>#REF!</v>
      </c>
      <c r="H293" s="771"/>
      <c r="I293" s="771" t="s">
        <v>305</v>
      </c>
      <c r="J293" s="771" t="s">
        <v>308</v>
      </c>
      <c r="K293" s="771"/>
      <c r="L293" s="771"/>
      <c r="M293" s="8"/>
    </row>
    <row r="294" spans="1:13" ht="26.45" hidden="1" outlineLevel="1">
      <c r="A294" s="771">
        <v>94</v>
      </c>
      <c r="B294" s="327" t="e">
        <f>'1. Detailed Budget POA'!#REF!</f>
        <v>#REF!</v>
      </c>
      <c r="C294" s="771" t="s">
        <v>303</v>
      </c>
      <c r="D294" s="771" t="s">
        <v>304</v>
      </c>
      <c r="E294" s="328" t="e">
        <f>'1. Detailed Budget POA'!#REF!</f>
        <v>#REF!</v>
      </c>
      <c r="F294" s="8"/>
      <c r="G294" s="328" t="e">
        <f t="shared" si="6"/>
        <v>#REF!</v>
      </c>
      <c r="H294" s="771"/>
      <c r="I294" s="771" t="s">
        <v>305</v>
      </c>
      <c r="J294" s="771" t="s">
        <v>308</v>
      </c>
      <c r="K294" s="771"/>
      <c r="L294" s="771"/>
      <c r="M294" s="8"/>
    </row>
    <row r="295" spans="1:13" ht="26.45" hidden="1" outlineLevel="1">
      <c r="A295" s="771">
        <v>95</v>
      </c>
      <c r="B295" s="327" t="e">
        <f>'1. Detailed Budget POA'!#REF!</f>
        <v>#REF!</v>
      </c>
      <c r="C295" s="771" t="s">
        <v>303</v>
      </c>
      <c r="D295" s="771" t="s">
        <v>304</v>
      </c>
      <c r="E295" s="328" t="e">
        <f>'1. Detailed Budget POA'!#REF!</f>
        <v>#REF!</v>
      </c>
      <c r="F295" s="8"/>
      <c r="G295" s="328" t="e">
        <f t="shared" si="6"/>
        <v>#REF!</v>
      </c>
      <c r="H295" s="771"/>
      <c r="I295" s="771" t="s">
        <v>305</v>
      </c>
      <c r="J295" s="771" t="s">
        <v>308</v>
      </c>
      <c r="K295" s="771"/>
      <c r="L295" s="771"/>
      <c r="M295" s="8"/>
    </row>
    <row r="296" spans="1:13" ht="26.45" hidden="1" outlineLevel="1">
      <c r="A296" s="771">
        <v>96</v>
      </c>
      <c r="B296" s="327" t="e">
        <f>'1. Detailed Budget POA'!#REF!</f>
        <v>#REF!</v>
      </c>
      <c r="C296" s="771" t="s">
        <v>303</v>
      </c>
      <c r="D296" s="771" t="s">
        <v>304</v>
      </c>
      <c r="E296" s="328" t="e">
        <f>'1. Detailed Budget POA'!#REF!</f>
        <v>#REF!</v>
      </c>
      <c r="F296" s="8"/>
      <c r="G296" s="328" t="e">
        <f t="shared" si="6"/>
        <v>#REF!</v>
      </c>
      <c r="H296" s="771"/>
      <c r="I296" s="771" t="s">
        <v>305</v>
      </c>
      <c r="J296" s="771" t="s">
        <v>308</v>
      </c>
      <c r="K296" s="771"/>
      <c r="L296" s="771"/>
      <c r="M296" s="8"/>
    </row>
    <row r="297" spans="1:13" ht="26.45" hidden="1" outlineLevel="1">
      <c r="A297" s="771">
        <v>97</v>
      </c>
      <c r="B297" s="327" t="e">
        <f>'1. Detailed Budget POA'!#REF!</f>
        <v>#REF!</v>
      </c>
      <c r="C297" s="771" t="s">
        <v>303</v>
      </c>
      <c r="D297" s="771" t="s">
        <v>304</v>
      </c>
      <c r="E297" s="328" t="e">
        <f>'1. Detailed Budget POA'!#REF!</f>
        <v>#REF!</v>
      </c>
      <c r="F297" s="8"/>
      <c r="G297" s="328" t="e">
        <f t="shared" si="6"/>
        <v>#REF!</v>
      </c>
      <c r="H297" s="771"/>
      <c r="I297" s="771" t="s">
        <v>305</v>
      </c>
      <c r="J297" s="771" t="s">
        <v>308</v>
      </c>
      <c r="K297" s="771"/>
      <c r="L297" s="771"/>
      <c r="M297" s="8"/>
    </row>
    <row r="298" spans="1:13" ht="26.45" hidden="1" outlineLevel="1">
      <c r="A298" s="771">
        <v>98</v>
      </c>
      <c r="B298" s="327">
        <f>'1. Detailed Budget POA'!S69</f>
        <v>0</v>
      </c>
      <c r="C298" s="771" t="s">
        <v>303</v>
      </c>
      <c r="D298" s="771" t="s">
        <v>304</v>
      </c>
      <c r="E298" s="328">
        <f>'1. Detailed Budget POA'!V69</f>
        <v>0</v>
      </c>
      <c r="F298" s="8"/>
      <c r="G298" s="328">
        <f t="shared" si="6"/>
        <v>0</v>
      </c>
      <c r="H298" s="771"/>
      <c r="I298" s="771" t="s">
        <v>305</v>
      </c>
      <c r="J298" s="771" t="s">
        <v>308</v>
      </c>
      <c r="K298" s="771"/>
      <c r="L298" s="771"/>
      <c r="M298" s="8"/>
    </row>
    <row r="299" spans="1:13" ht="26.45" hidden="1" outlineLevel="1">
      <c r="A299" s="771">
        <v>99</v>
      </c>
      <c r="B299" s="327">
        <f>'1. Detailed Budget POA'!S70</f>
        <v>0</v>
      </c>
      <c r="C299" s="771" t="s">
        <v>303</v>
      </c>
      <c r="D299" s="771" t="s">
        <v>304</v>
      </c>
      <c r="E299" s="328">
        <f>'1. Detailed Budget POA'!V70</f>
        <v>0</v>
      </c>
      <c r="F299" s="8"/>
      <c r="G299" s="328">
        <f t="shared" si="6"/>
        <v>0</v>
      </c>
      <c r="H299" s="771"/>
      <c r="I299" s="771" t="s">
        <v>305</v>
      </c>
      <c r="J299" s="771" t="s">
        <v>308</v>
      </c>
      <c r="K299" s="771"/>
      <c r="L299" s="771"/>
      <c r="M299" s="8"/>
    </row>
    <row r="300" spans="1:13" ht="26.45" hidden="1" outlineLevel="1">
      <c r="A300" s="771">
        <v>100</v>
      </c>
      <c r="B300" s="327" t="e">
        <f>'1. Detailed Budget POA'!#REF!</f>
        <v>#REF!</v>
      </c>
      <c r="C300" s="771" t="s">
        <v>303</v>
      </c>
      <c r="D300" s="771" t="s">
        <v>304</v>
      </c>
      <c r="E300" s="328" t="e">
        <f>'1. Detailed Budget POA'!#REF!</f>
        <v>#REF!</v>
      </c>
      <c r="F300" s="8"/>
      <c r="G300" s="328" t="e">
        <f t="shared" si="6"/>
        <v>#REF!</v>
      </c>
      <c r="H300" s="771"/>
      <c r="I300" s="771" t="s">
        <v>305</v>
      </c>
      <c r="J300" s="771" t="s">
        <v>308</v>
      </c>
      <c r="K300" s="771"/>
      <c r="L300" s="771"/>
      <c r="M300" s="8"/>
    </row>
    <row r="301" spans="1:13" ht="26.45" hidden="1" outlineLevel="1">
      <c r="A301" s="771">
        <v>101</v>
      </c>
      <c r="B301" s="327" t="e">
        <f>'1. Detailed Budget POA'!#REF!</f>
        <v>#REF!</v>
      </c>
      <c r="C301" s="771" t="s">
        <v>303</v>
      </c>
      <c r="D301" s="771" t="s">
        <v>304</v>
      </c>
      <c r="E301" s="328" t="e">
        <f>'1. Detailed Budget POA'!#REF!</f>
        <v>#REF!</v>
      </c>
      <c r="F301" s="8"/>
      <c r="G301" s="328" t="e">
        <f t="shared" si="6"/>
        <v>#REF!</v>
      </c>
      <c r="H301" s="771"/>
      <c r="I301" s="771" t="s">
        <v>305</v>
      </c>
      <c r="J301" s="771" t="s">
        <v>308</v>
      </c>
      <c r="K301" s="771"/>
      <c r="L301" s="771"/>
      <c r="M301" s="8"/>
    </row>
    <row r="302" spans="1:13" ht="26.45" hidden="1" outlineLevel="1">
      <c r="A302" s="771">
        <v>102</v>
      </c>
      <c r="B302" s="327" t="e">
        <f>'1. Detailed Budget POA'!#REF!</f>
        <v>#REF!</v>
      </c>
      <c r="C302" s="771" t="s">
        <v>303</v>
      </c>
      <c r="D302" s="771" t="s">
        <v>304</v>
      </c>
      <c r="E302" s="328" t="e">
        <f>'1. Detailed Budget POA'!#REF!</f>
        <v>#REF!</v>
      </c>
      <c r="F302" s="8"/>
      <c r="G302" s="328" t="e">
        <f t="shared" si="6"/>
        <v>#REF!</v>
      </c>
      <c r="H302" s="771"/>
      <c r="I302" s="771" t="s">
        <v>305</v>
      </c>
      <c r="J302" s="771" t="s">
        <v>308</v>
      </c>
      <c r="K302" s="771"/>
      <c r="L302" s="771"/>
      <c r="M302" s="8"/>
    </row>
    <row r="303" spans="1:13" ht="26.45" hidden="1" outlineLevel="1">
      <c r="A303" s="771">
        <v>103</v>
      </c>
      <c r="B303" s="327" t="e">
        <f>'1. Detailed Budget POA'!#REF!</f>
        <v>#REF!</v>
      </c>
      <c r="C303" s="771" t="s">
        <v>303</v>
      </c>
      <c r="D303" s="771" t="s">
        <v>304</v>
      </c>
      <c r="E303" s="328" t="e">
        <f>'1. Detailed Budget POA'!#REF!</f>
        <v>#REF!</v>
      </c>
      <c r="F303" s="8"/>
      <c r="G303" s="328" t="e">
        <f t="shared" si="6"/>
        <v>#REF!</v>
      </c>
      <c r="H303" s="771"/>
      <c r="I303" s="771" t="s">
        <v>305</v>
      </c>
      <c r="J303" s="771" t="s">
        <v>308</v>
      </c>
      <c r="K303" s="771"/>
      <c r="L303" s="771"/>
      <c r="M303" s="8"/>
    </row>
    <row r="304" spans="1:13" ht="26.45" hidden="1" outlineLevel="1">
      <c r="A304" s="771">
        <v>104</v>
      </c>
      <c r="B304" s="327" t="e">
        <f>'1. Detailed Budget POA'!#REF!</f>
        <v>#REF!</v>
      </c>
      <c r="C304" s="771" t="s">
        <v>303</v>
      </c>
      <c r="D304" s="771" t="s">
        <v>304</v>
      </c>
      <c r="E304" s="328" t="e">
        <f>'1. Detailed Budget POA'!#REF!</f>
        <v>#REF!</v>
      </c>
      <c r="F304" s="8"/>
      <c r="G304" s="328" t="e">
        <f t="shared" si="6"/>
        <v>#REF!</v>
      </c>
      <c r="H304" s="771"/>
      <c r="I304" s="771" t="s">
        <v>305</v>
      </c>
      <c r="J304" s="771" t="s">
        <v>308</v>
      </c>
      <c r="K304" s="771"/>
      <c r="L304" s="771"/>
      <c r="M304" s="8"/>
    </row>
    <row r="305" spans="1:13" ht="26.45" hidden="1" outlineLevel="1">
      <c r="A305" s="771">
        <v>105</v>
      </c>
      <c r="B305" s="327" t="e">
        <f>'1. Detailed Budget POA'!#REF!</f>
        <v>#REF!</v>
      </c>
      <c r="C305" s="771" t="s">
        <v>303</v>
      </c>
      <c r="D305" s="771" t="s">
        <v>304</v>
      </c>
      <c r="E305" s="328" t="e">
        <f>'1. Detailed Budget POA'!#REF!</f>
        <v>#REF!</v>
      </c>
      <c r="F305" s="8"/>
      <c r="G305" s="328" t="e">
        <f t="shared" si="6"/>
        <v>#REF!</v>
      </c>
      <c r="H305" s="771"/>
      <c r="I305" s="771" t="s">
        <v>305</v>
      </c>
      <c r="J305" s="771" t="s">
        <v>308</v>
      </c>
      <c r="K305" s="771"/>
      <c r="L305" s="771"/>
      <c r="M305" s="8"/>
    </row>
    <row r="306" spans="1:13" ht="26.45" hidden="1" outlineLevel="1">
      <c r="A306" s="771">
        <v>106</v>
      </c>
      <c r="B306" s="327" t="e">
        <f>'1. Detailed Budget POA'!#REF!</f>
        <v>#REF!</v>
      </c>
      <c r="C306" s="771" t="s">
        <v>303</v>
      </c>
      <c r="D306" s="771" t="s">
        <v>304</v>
      </c>
      <c r="E306" s="328" t="e">
        <f>'1. Detailed Budget POA'!#REF!</f>
        <v>#REF!</v>
      </c>
      <c r="F306" s="8"/>
      <c r="G306" s="328" t="e">
        <f t="shared" si="6"/>
        <v>#REF!</v>
      </c>
      <c r="H306" s="771"/>
      <c r="I306" s="771" t="s">
        <v>305</v>
      </c>
      <c r="J306" s="771" t="s">
        <v>308</v>
      </c>
      <c r="K306" s="771"/>
      <c r="L306" s="771"/>
      <c r="M306" s="8"/>
    </row>
    <row r="307" spans="1:13" ht="26.45" hidden="1" outlineLevel="1">
      <c r="A307" s="771">
        <v>107</v>
      </c>
      <c r="B307" s="327" t="e">
        <f>'1. Detailed Budget POA'!#REF!</f>
        <v>#REF!</v>
      </c>
      <c r="C307" s="771" t="s">
        <v>303</v>
      </c>
      <c r="D307" s="771" t="s">
        <v>304</v>
      </c>
      <c r="E307" s="328" t="e">
        <f>'1. Detailed Budget POA'!#REF!</f>
        <v>#REF!</v>
      </c>
      <c r="F307" s="8"/>
      <c r="G307" s="328" t="e">
        <f t="shared" si="6"/>
        <v>#REF!</v>
      </c>
      <c r="H307" s="771"/>
      <c r="I307" s="771" t="s">
        <v>305</v>
      </c>
      <c r="J307" s="771" t="s">
        <v>308</v>
      </c>
      <c r="K307" s="771"/>
      <c r="L307" s="771"/>
      <c r="M307" s="8"/>
    </row>
    <row r="308" spans="1:13" ht="26.45" hidden="1" outlineLevel="1">
      <c r="A308" s="771">
        <v>108</v>
      </c>
      <c r="B308" s="327" t="e">
        <f>'1. Detailed Budget POA'!#REF!</f>
        <v>#REF!</v>
      </c>
      <c r="C308" s="771" t="s">
        <v>303</v>
      </c>
      <c r="D308" s="771" t="s">
        <v>304</v>
      </c>
      <c r="E308" s="328" t="e">
        <f>'1. Detailed Budget POA'!#REF!</f>
        <v>#REF!</v>
      </c>
      <c r="F308" s="8"/>
      <c r="G308" s="328" t="e">
        <f t="shared" si="6"/>
        <v>#REF!</v>
      </c>
      <c r="H308" s="771"/>
      <c r="I308" s="771" t="s">
        <v>305</v>
      </c>
      <c r="J308" s="771" t="s">
        <v>308</v>
      </c>
      <c r="K308" s="771"/>
      <c r="L308" s="771"/>
      <c r="M308" s="8"/>
    </row>
    <row r="309" spans="1:13" ht="26.45" hidden="1" outlineLevel="1">
      <c r="A309" s="771">
        <v>109</v>
      </c>
      <c r="B309" s="327" t="e">
        <f>'1. Detailed Budget POA'!#REF!</f>
        <v>#REF!</v>
      </c>
      <c r="C309" s="771" t="s">
        <v>303</v>
      </c>
      <c r="D309" s="771" t="s">
        <v>304</v>
      </c>
      <c r="E309" s="328" t="e">
        <f>'1. Detailed Budget POA'!#REF!</f>
        <v>#REF!</v>
      </c>
      <c r="F309" s="8"/>
      <c r="G309" s="328" t="e">
        <f t="shared" si="6"/>
        <v>#REF!</v>
      </c>
      <c r="H309" s="771"/>
      <c r="I309" s="771" t="s">
        <v>305</v>
      </c>
      <c r="J309" s="771" t="s">
        <v>308</v>
      </c>
      <c r="K309" s="771"/>
      <c r="L309" s="771"/>
      <c r="M309" s="8"/>
    </row>
    <row r="310" spans="1:13" ht="26.45" hidden="1" outlineLevel="1">
      <c r="A310" s="771">
        <v>110</v>
      </c>
      <c r="B310" s="327" t="e">
        <f>'1. Detailed Budget POA'!#REF!</f>
        <v>#REF!</v>
      </c>
      <c r="C310" s="771" t="s">
        <v>303</v>
      </c>
      <c r="D310" s="771" t="s">
        <v>304</v>
      </c>
      <c r="E310" s="328" t="e">
        <f>'1. Detailed Budget POA'!#REF!</f>
        <v>#REF!</v>
      </c>
      <c r="F310" s="8"/>
      <c r="G310" s="328" t="e">
        <f t="shared" si="6"/>
        <v>#REF!</v>
      </c>
      <c r="H310" s="771"/>
      <c r="I310" s="771" t="s">
        <v>305</v>
      </c>
      <c r="J310" s="771" t="s">
        <v>308</v>
      </c>
      <c r="K310" s="771"/>
      <c r="L310" s="771"/>
      <c r="M310" s="8"/>
    </row>
    <row r="311" spans="1:13" ht="26.45" collapsed="1">
      <c r="A311" s="771">
        <v>18</v>
      </c>
      <c r="B311" s="327" t="e">
        <f>'1. Detailed Budget POA'!#REF!</f>
        <v>#REF!</v>
      </c>
      <c r="C311" s="771" t="s">
        <v>303</v>
      </c>
      <c r="D311" s="771" t="s">
        <v>304</v>
      </c>
      <c r="E311" s="328" t="e">
        <f>'1. Detailed Budget POA'!#REF!</f>
        <v>#REF!</v>
      </c>
      <c r="F311" s="8"/>
      <c r="G311" s="328" t="e">
        <f t="shared" si="6"/>
        <v>#REF!</v>
      </c>
      <c r="H311" s="771">
        <v>3.2</v>
      </c>
      <c r="I311" s="771" t="s">
        <v>305</v>
      </c>
      <c r="J311" s="771" t="s">
        <v>308</v>
      </c>
      <c r="K311" s="771">
        <v>2020</v>
      </c>
      <c r="L311" s="771">
        <v>2021</v>
      </c>
      <c r="M311" s="8"/>
    </row>
    <row r="312" spans="1:13" ht="26.45">
      <c r="A312" s="771">
        <v>19</v>
      </c>
      <c r="B312" s="327" t="e">
        <f>'1. Detailed Budget POA'!#REF!</f>
        <v>#REF!</v>
      </c>
      <c r="C312" s="771" t="s">
        <v>303</v>
      </c>
      <c r="D312" s="771" t="s">
        <v>304</v>
      </c>
      <c r="E312" s="328" t="e">
        <f>'1. Detailed Budget POA'!#REF!</f>
        <v>#REF!</v>
      </c>
      <c r="F312" s="8"/>
      <c r="G312" s="328" t="e">
        <f t="shared" si="6"/>
        <v>#REF!</v>
      </c>
      <c r="H312" s="771">
        <v>3.2</v>
      </c>
      <c r="I312" s="771" t="s">
        <v>305</v>
      </c>
      <c r="J312" s="771" t="s">
        <v>308</v>
      </c>
      <c r="K312" s="771">
        <v>2020</v>
      </c>
      <c r="L312" s="771">
        <v>2021</v>
      </c>
      <c r="M312" s="8"/>
    </row>
    <row r="313" spans="1:13" ht="26.45" hidden="1" outlineLevel="1">
      <c r="A313" s="771">
        <v>113</v>
      </c>
      <c r="B313" s="327" t="e">
        <f>'1. Detailed Budget POA'!#REF!</f>
        <v>#REF!</v>
      </c>
      <c r="C313" s="771" t="s">
        <v>303</v>
      </c>
      <c r="D313" s="771" t="s">
        <v>304</v>
      </c>
      <c r="E313" s="328" t="e">
        <f>'1. Detailed Budget POA'!#REF!</f>
        <v>#REF!</v>
      </c>
      <c r="F313" s="8"/>
      <c r="G313" s="328" t="e">
        <f t="shared" si="6"/>
        <v>#REF!</v>
      </c>
      <c r="H313" s="771"/>
      <c r="I313" s="771" t="s">
        <v>305</v>
      </c>
      <c r="J313" s="771" t="s">
        <v>308</v>
      </c>
      <c r="K313" s="8"/>
      <c r="L313" s="8"/>
      <c r="M313" s="8"/>
    </row>
    <row r="314" spans="1:13" ht="26.45" hidden="1" outlineLevel="1">
      <c r="A314" s="771">
        <v>114</v>
      </c>
      <c r="B314" s="327" t="e">
        <f>'1. Detailed Budget POA'!#REF!</f>
        <v>#REF!</v>
      </c>
      <c r="C314" s="771" t="s">
        <v>303</v>
      </c>
      <c r="D314" s="771" t="s">
        <v>304</v>
      </c>
      <c r="E314" s="328" t="e">
        <f>'1. Detailed Budget POA'!#REF!</f>
        <v>#REF!</v>
      </c>
      <c r="F314" s="8"/>
      <c r="G314" s="328" t="e">
        <f t="shared" si="6"/>
        <v>#REF!</v>
      </c>
      <c r="H314" s="771"/>
      <c r="I314" s="771" t="s">
        <v>305</v>
      </c>
      <c r="J314" s="771" t="s">
        <v>308</v>
      </c>
      <c r="K314" s="8"/>
      <c r="L314" s="8"/>
      <c r="M314" s="8"/>
    </row>
    <row r="315" spans="1:13" ht="26.45" hidden="1" outlineLevel="1">
      <c r="A315" s="771">
        <v>115</v>
      </c>
      <c r="B315" s="327" t="e">
        <f>'1. Detailed Budget POA'!#REF!</f>
        <v>#REF!</v>
      </c>
      <c r="C315" s="771" t="s">
        <v>303</v>
      </c>
      <c r="D315" s="771" t="s">
        <v>304</v>
      </c>
      <c r="E315" s="328" t="e">
        <f>'1. Detailed Budget POA'!#REF!</f>
        <v>#REF!</v>
      </c>
      <c r="F315" s="8"/>
      <c r="G315" s="328" t="e">
        <f t="shared" si="6"/>
        <v>#REF!</v>
      </c>
      <c r="H315" s="771"/>
      <c r="I315" s="771" t="s">
        <v>305</v>
      </c>
      <c r="J315" s="771" t="s">
        <v>308</v>
      </c>
      <c r="K315" s="8"/>
      <c r="L315" s="8"/>
      <c r="M315" s="8"/>
    </row>
    <row r="316" spans="1:13" ht="26.45" hidden="1" outlineLevel="1">
      <c r="A316" s="771">
        <v>116</v>
      </c>
      <c r="B316" s="327" t="e">
        <f>'1. Detailed Budget POA'!#REF!</f>
        <v>#REF!</v>
      </c>
      <c r="C316" s="771" t="s">
        <v>303</v>
      </c>
      <c r="D316" s="771" t="s">
        <v>304</v>
      </c>
      <c r="E316" s="328" t="e">
        <f>'1. Detailed Budget POA'!#REF!</f>
        <v>#REF!</v>
      </c>
      <c r="F316" s="8"/>
      <c r="G316" s="328" t="e">
        <f t="shared" si="6"/>
        <v>#REF!</v>
      </c>
      <c r="H316" s="771"/>
      <c r="I316" s="771" t="s">
        <v>305</v>
      </c>
      <c r="J316" s="771" t="s">
        <v>308</v>
      </c>
      <c r="K316" s="8"/>
      <c r="L316" s="8"/>
      <c r="M316" s="8"/>
    </row>
    <row r="317" spans="1:13" ht="26.45" hidden="1" outlineLevel="1">
      <c r="A317" s="771">
        <v>117</v>
      </c>
      <c r="B317" s="327" t="e">
        <f>'1. Detailed Budget POA'!#REF!</f>
        <v>#REF!</v>
      </c>
      <c r="C317" s="771" t="s">
        <v>303</v>
      </c>
      <c r="D317" s="771" t="s">
        <v>304</v>
      </c>
      <c r="E317" s="328" t="e">
        <f>'1. Detailed Budget POA'!#REF!</f>
        <v>#REF!</v>
      </c>
      <c r="F317" s="8"/>
      <c r="G317" s="328" t="e">
        <f t="shared" si="6"/>
        <v>#REF!</v>
      </c>
      <c r="H317" s="771"/>
      <c r="I317" s="771" t="s">
        <v>305</v>
      </c>
      <c r="J317" s="771" t="s">
        <v>308</v>
      </c>
      <c r="K317" s="8"/>
      <c r="L317" s="8"/>
      <c r="M317" s="8"/>
    </row>
    <row r="318" spans="1:13" ht="26.45" hidden="1" outlineLevel="1">
      <c r="A318" s="771">
        <v>118</v>
      </c>
      <c r="B318" s="327" t="e">
        <f>'1. Detailed Budget POA'!#REF!</f>
        <v>#REF!</v>
      </c>
      <c r="C318" s="771" t="s">
        <v>303</v>
      </c>
      <c r="D318" s="771" t="s">
        <v>304</v>
      </c>
      <c r="E318" s="328" t="e">
        <f>'1. Detailed Budget POA'!#REF!</f>
        <v>#REF!</v>
      </c>
      <c r="F318" s="8"/>
      <c r="G318" s="328" t="e">
        <f t="shared" si="6"/>
        <v>#REF!</v>
      </c>
      <c r="H318" s="771"/>
      <c r="I318" s="771" t="s">
        <v>305</v>
      </c>
      <c r="J318" s="771" t="s">
        <v>308</v>
      </c>
      <c r="K318" s="8"/>
      <c r="L318" s="8"/>
      <c r="M318" s="8"/>
    </row>
    <row r="319" spans="1:13" ht="26.45" hidden="1" outlineLevel="1">
      <c r="A319" s="771">
        <v>119</v>
      </c>
      <c r="B319" s="327" t="e">
        <f>'1. Detailed Budget POA'!#REF!</f>
        <v>#REF!</v>
      </c>
      <c r="C319" s="771" t="s">
        <v>303</v>
      </c>
      <c r="D319" s="771" t="s">
        <v>304</v>
      </c>
      <c r="E319" s="328" t="e">
        <f>'1. Detailed Budget POA'!#REF!</f>
        <v>#REF!</v>
      </c>
      <c r="F319" s="8"/>
      <c r="G319" s="328" t="e">
        <f t="shared" si="6"/>
        <v>#REF!</v>
      </c>
      <c r="H319" s="771"/>
      <c r="I319" s="771" t="s">
        <v>305</v>
      </c>
      <c r="J319" s="771" t="s">
        <v>308</v>
      </c>
      <c r="K319" s="8"/>
      <c r="L319" s="8"/>
      <c r="M319" s="8"/>
    </row>
    <row r="320" spans="1:13" ht="26.45" hidden="1" outlineLevel="1">
      <c r="A320" s="771">
        <v>120</v>
      </c>
      <c r="B320" s="327" t="e">
        <f>'1. Detailed Budget POA'!#REF!</f>
        <v>#REF!</v>
      </c>
      <c r="C320" s="771" t="s">
        <v>303</v>
      </c>
      <c r="D320" s="771" t="s">
        <v>304</v>
      </c>
      <c r="E320" s="328" t="e">
        <f>'1. Detailed Budget POA'!#REF!</f>
        <v>#REF!</v>
      </c>
      <c r="F320" s="8"/>
      <c r="G320" s="328" t="e">
        <f t="shared" si="6"/>
        <v>#REF!</v>
      </c>
      <c r="H320" s="771"/>
      <c r="I320" s="771" t="s">
        <v>305</v>
      </c>
      <c r="J320" s="771" t="s">
        <v>308</v>
      </c>
      <c r="K320" s="8"/>
      <c r="L320" s="8"/>
      <c r="M320" s="8"/>
    </row>
    <row r="321" spans="1:13" ht="26.45" hidden="1" outlineLevel="1">
      <c r="A321" s="771">
        <v>122</v>
      </c>
      <c r="B321" s="327" t="e">
        <f>'1. Detailed Budget POA'!#REF!</f>
        <v>#REF!</v>
      </c>
      <c r="C321" s="771" t="s">
        <v>303</v>
      </c>
      <c r="D321" s="771" t="s">
        <v>304</v>
      </c>
      <c r="E321" s="328" t="e">
        <f>'1. Detailed Budget POA'!#REF!</f>
        <v>#REF!</v>
      </c>
      <c r="F321" s="8"/>
      <c r="G321" s="328" t="e">
        <f t="shared" si="6"/>
        <v>#REF!</v>
      </c>
      <c r="H321" s="771"/>
      <c r="I321" s="771" t="s">
        <v>305</v>
      </c>
      <c r="J321" s="771" t="s">
        <v>308</v>
      </c>
      <c r="K321" s="8"/>
      <c r="L321" s="8"/>
      <c r="M321" s="8"/>
    </row>
    <row r="322" spans="1:13" ht="26.45" hidden="1" outlineLevel="1">
      <c r="A322" s="771">
        <v>128</v>
      </c>
      <c r="B322" s="327" t="e">
        <f>'1. Detailed Budget POA'!#REF!</f>
        <v>#REF!</v>
      </c>
      <c r="C322" s="771" t="s">
        <v>303</v>
      </c>
      <c r="D322" s="771" t="s">
        <v>304</v>
      </c>
      <c r="E322" s="328" t="e">
        <f>'1. Detailed Budget POA'!#REF!</f>
        <v>#REF!</v>
      </c>
      <c r="F322" s="8"/>
      <c r="G322" s="328" t="e">
        <f t="shared" si="6"/>
        <v>#REF!</v>
      </c>
      <c r="H322" s="771"/>
      <c r="I322" s="771" t="s">
        <v>305</v>
      </c>
      <c r="J322" s="771" t="s">
        <v>308</v>
      </c>
      <c r="K322" s="8"/>
      <c r="L322" s="8"/>
      <c r="M322" s="8"/>
    </row>
    <row r="323" spans="1:13" ht="26.45" hidden="1" outlineLevel="1">
      <c r="A323" s="771">
        <v>129</v>
      </c>
      <c r="B323" s="327" t="e">
        <f>'1. Detailed Budget POA'!#REF!</f>
        <v>#REF!</v>
      </c>
      <c r="C323" s="771" t="s">
        <v>303</v>
      </c>
      <c r="D323" s="771" t="s">
        <v>304</v>
      </c>
      <c r="E323" s="328" t="e">
        <f>'1. Detailed Budget POA'!#REF!</f>
        <v>#REF!</v>
      </c>
      <c r="F323" s="8"/>
      <c r="G323" s="328" t="e">
        <f t="shared" si="6"/>
        <v>#REF!</v>
      </c>
      <c r="H323" s="771"/>
      <c r="I323" s="771" t="s">
        <v>305</v>
      </c>
      <c r="J323" s="771" t="s">
        <v>308</v>
      </c>
      <c r="K323" s="8"/>
      <c r="L323" s="8"/>
      <c r="M323" s="8"/>
    </row>
    <row r="324" spans="1:13" ht="26.45" hidden="1" outlineLevel="1">
      <c r="A324" s="771">
        <v>140</v>
      </c>
      <c r="B324" s="327" t="e">
        <f>'1. Detailed Budget POA'!#REF!</f>
        <v>#REF!</v>
      </c>
      <c r="C324" s="771" t="s">
        <v>303</v>
      </c>
      <c r="D324" s="771" t="s">
        <v>304</v>
      </c>
      <c r="E324" s="328" t="e">
        <f>'1. Detailed Budget POA'!#REF!</f>
        <v>#REF!</v>
      </c>
      <c r="F324" s="8"/>
      <c r="G324" s="328" t="e">
        <f>SUM(E324:F324)</f>
        <v>#REF!</v>
      </c>
      <c r="H324" s="771"/>
      <c r="I324" s="771" t="s">
        <v>305</v>
      </c>
      <c r="J324" s="771" t="s">
        <v>308</v>
      </c>
      <c r="K324" s="8"/>
      <c r="L324" s="8"/>
      <c r="M324" s="8"/>
    </row>
    <row r="325" spans="1:13" ht="26.45" hidden="1" outlineLevel="1">
      <c r="A325" s="771">
        <v>141</v>
      </c>
      <c r="B325" s="327" t="e">
        <f>'1. Detailed Budget POA'!#REF!</f>
        <v>#REF!</v>
      </c>
      <c r="C325" s="771" t="s">
        <v>303</v>
      </c>
      <c r="D325" s="771" t="s">
        <v>304</v>
      </c>
      <c r="E325" s="328" t="e">
        <f>'1. Detailed Budget POA'!#REF!</f>
        <v>#REF!</v>
      </c>
      <c r="F325" s="8"/>
      <c r="G325" s="328" t="e">
        <f>SUM(E325:F325)</f>
        <v>#REF!</v>
      </c>
      <c r="H325" s="771"/>
      <c r="I325" s="771" t="s">
        <v>305</v>
      </c>
      <c r="J325" s="771" t="s">
        <v>308</v>
      </c>
      <c r="K325" s="8"/>
      <c r="L325" s="8"/>
      <c r="M325" s="8"/>
    </row>
    <row r="326" spans="1:13" collapsed="1">
      <c r="A326" s="23"/>
      <c r="B326" s="23"/>
      <c r="C326" s="52"/>
      <c r="D326" s="52"/>
      <c r="E326" s="23"/>
      <c r="F326" s="23"/>
      <c r="G326" s="23"/>
      <c r="H326" s="23"/>
      <c r="I326" s="23"/>
      <c r="J326" s="23"/>
      <c r="K326" s="23"/>
      <c r="L326" s="23"/>
      <c r="M326" s="23"/>
    </row>
    <row r="327" spans="1:13" ht="24" customHeight="1">
      <c r="A327" s="48"/>
      <c r="B327" s="1065" t="s">
        <v>301</v>
      </c>
      <c r="C327" s="1065"/>
      <c r="D327" s="1065"/>
      <c r="E327" s="1066" t="e">
        <f>SUM(E223:E320)</f>
        <v>#REF!</v>
      </c>
      <c r="F327" s="1066">
        <f>SUM(F223:F320)</f>
        <v>0</v>
      </c>
      <c r="G327" s="1066" t="e">
        <f>SUM(G223:G320)</f>
        <v>#REF!</v>
      </c>
      <c r="H327" s="48"/>
      <c r="I327" s="48"/>
      <c r="J327" s="48"/>
      <c r="K327" s="48"/>
      <c r="L327" s="48"/>
      <c r="M327" s="48"/>
    </row>
    <row r="328" spans="1:13">
      <c r="A328" s="23"/>
      <c r="B328" s="23"/>
      <c r="C328" s="52"/>
      <c r="D328" s="52"/>
      <c r="E328" s="23"/>
      <c r="F328" s="23"/>
      <c r="G328" s="23"/>
      <c r="H328" s="23"/>
      <c r="I328" s="23"/>
      <c r="J328" s="23"/>
      <c r="K328" s="23"/>
      <c r="L328" s="23"/>
      <c r="M328" s="23"/>
    </row>
    <row r="329" spans="1:13">
      <c r="A329" s="947" t="s">
        <v>310</v>
      </c>
      <c r="B329" s="1063"/>
      <c r="C329" s="1063"/>
      <c r="D329" s="1063"/>
      <c r="E329" s="1063"/>
      <c r="F329" s="1063"/>
      <c r="G329" s="1063"/>
      <c r="H329" s="1063"/>
      <c r="I329" s="1063"/>
      <c r="J329" s="1063"/>
      <c r="K329" s="1063"/>
      <c r="L329" s="1063"/>
      <c r="M329" s="1064"/>
    </row>
    <row r="330" spans="1:13" ht="26.45" hidden="1" outlineLevel="1">
      <c r="A330" s="771">
        <v>1</v>
      </c>
      <c r="B330" s="327">
        <f>'1. Detailed Budget POA'!W10</f>
        <v>0</v>
      </c>
      <c r="C330" s="771" t="s">
        <v>303</v>
      </c>
      <c r="D330" s="771" t="s">
        <v>304</v>
      </c>
      <c r="E330" s="328">
        <f>'1. Detailed Budget POA'!Z10</f>
        <v>0</v>
      </c>
      <c r="F330" s="8"/>
      <c r="G330" s="328">
        <f>SUM(E330:F330)</f>
        <v>0</v>
      </c>
      <c r="H330" s="771"/>
      <c r="I330" s="771" t="s">
        <v>305</v>
      </c>
      <c r="J330" s="771" t="s">
        <v>308</v>
      </c>
      <c r="K330" s="8"/>
      <c r="L330" s="8"/>
      <c r="M330" s="8"/>
    </row>
    <row r="331" spans="1:13" ht="26.45" hidden="1" outlineLevel="1">
      <c r="A331" s="771">
        <v>2</v>
      </c>
      <c r="B331" s="327">
        <f>'1. Detailed Budget POA'!W11</f>
        <v>0</v>
      </c>
      <c r="C331" s="771" t="s">
        <v>303</v>
      </c>
      <c r="D331" s="771" t="s">
        <v>304</v>
      </c>
      <c r="E331" s="328">
        <f>'1. Detailed Budget POA'!Z11</f>
        <v>0</v>
      </c>
      <c r="F331" s="8"/>
      <c r="G331" s="328">
        <f t="shared" ref="G331:G383" si="7">SUM(E331:F331)</f>
        <v>0</v>
      </c>
      <c r="H331" s="771"/>
      <c r="I331" s="771" t="s">
        <v>305</v>
      </c>
      <c r="J331" s="771" t="s">
        <v>308</v>
      </c>
      <c r="K331" s="8"/>
      <c r="L331" s="8"/>
      <c r="M331" s="8"/>
    </row>
    <row r="332" spans="1:13" ht="26.45" hidden="1" outlineLevel="1">
      <c r="A332" s="771">
        <v>3</v>
      </c>
      <c r="B332" s="327">
        <f>'1. Detailed Budget POA'!W12</f>
        <v>0</v>
      </c>
      <c r="C332" s="771" t="s">
        <v>303</v>
      </c>
      <c r="D332" s="771" t="s">
        <v>304</v>
      </c>
      <c r="E332" s="328">
        <f>'1. Detailed Budget POA'!Z12</f>
        <v>0</v>
      </c>
      <c r="F332" s="8"/>
      <c r="G332" s="328">
        <f t="shared" si="7"/>
        <v>0</v>
      </c>
      <c r="H332" s="771"/>
      <c r="I332" s="771" t="s">
        <v>305</v>
      </c>
      <c r="J332" s="771" t="s">
        <v>308</v>
      </c>
      <c r="K332" s="8"/>
      <c r="L332" s="8"/>
      <c r="M332" s="8"/>
    </row>
    <row r="333" spans="1:13" ht="26.45" hidden="1" outlineLevel="1">
      <c r="A333" s="771">
        <v>4</v>
      </c>
      <c r="B333" s="327">
        <f>'1. Detailed Budget POA'!W13</f>
        <v>0</v>
      </c>
      <c r="C333" s="771" t="s">
        <v>303</v>
      </c>
      <c r="D333" s="771" t="s">
        <v>304</v>
      </c>
      <c r="E333" s="328">
        <f>'1. Detailed Budget POA'!Z13</f>
        <v>0</v>
      </c>
      <c r="F333" s="8"/>
      <c r="G333" s="328">
        <f t="shared" si="7"/>
        <v>0</v>
      </c>
      <c r="H333" s="771"/>
      <c r="I333" s="771" t="s">
        <v>305</v>
      </c>
      <c r="J333" s="771" t="s">
        <v>308</v>
      </c>
      <c r="K333" s="8"/>
      <c r="L333" s="8"/>
      <c r="M333" s="8"/>
    </row>
    <row r="334" spans="1:13" ht="26.45" hidden="1" outlineLevel="1">
      <c r="A334" s="771">
        <v>5</v>
      </c>
      <c r="B334" s="327">
        <f>'1. Detailed Budget POA'!W18</f>
        <v>0</v>
      </c>
      <c r="C334" s="771" t="s">
        <v>303</v>
      </c>
      <c r="D334" s="771" t="s">
        <v>304</v>
      </c>
      <c r="E334" s="328">
        <f>'1. Detailed Budget POA'!Z18</f>
        <v>0</v>
      </c>
      <c r="F334" s="8"/>
      <c r="G334" s="328">
        <f t="shared" si="7"/>
        <v>0</v>
      </c>
      <c r="H334" s="771"/>
      <c r="I334" s="771" t="s">
        <v>305</v>
      </c>
      <c r="J334" s="771" t="s">
        <v>308</v>
      </c>
      <c r="K334" s="8"/>
      <c r="L334" s="8"/>
      <c r="M334" s="8"/>
    </row>
    <row r="335" spans="1:13" ht="26.45" hidden="1" outlineLevel="1">
      <c r="A335" s="771">
        <v>6</v>
      </c>
      <c r="B335" s="327">
        <f>'1. Detailed Budget POA'!W19</f>
        <v>0</v>
      </c>
      <c r="C335" s="771" t="s">
        <v>303</v>
      </c>
      <c r="D335" s="771" t="s">
        <v>304</v>
      </c>
      <c r="E335" s="328">
        <f>'1. Detailed Budget POA'!Z19</f>
        <v>0</v>
      </c>
      <c r="F335" s="8"/>
      <c r="G335" s="328">
        <f t="shared" si="7"/>
        <v>0</v>
      </c>
      <c r="H335" s="771"/>
      <c r="I335" s="771" t="s">
        <v>305</v>
      </c>
      <c r="J335" s="771" t="s">
        <v>308</v>
      </c>
      <c r="K335" s="8"/>
      <c r="L335" s="8"/>
      <c r="M335" s="8"/>
    </row>
    <row r="336" spans="1:13" ht="26.45" hidden="1" outlineLevel="1">
      <c r="A336" s="771">
        <v>7</v>
      </c>
      <c r="B336" s="327">
        <f>'1. Detailed Budget POA'!W20</f>
        <v>0</v>
      </c>
      <c r="C336" s="771" t="s">
        <v>303</v>
      </c>
      <c r="D336" s="771" t="s">
        <v>304</v>
      </c>
      <c r="E336" s="328">
        <f>'1. Detailed Budget POA'!Z20</f>
        <v>0</v>
      </c>
      <c r="F336" s="8"/>
      <c r="G336" s="328">
        <f t="shared" si="7"/>
        <v>0</v>
      </c>
      <c r="H336" s="771"/>
      <c r="I336" s="771" t="s">
        <v>305</v>
      </c>
      <c r="J336" s="771" t="s">
        <v>308</v>
      </c>
      <c r="K336" s="8"/>
      <c r="L336" s="8"/>
      <c r="M336" s="8"/>
    </row>
    <row r="337" spans="1:13" ht="26.45" hidden="1" outlineLevel="1">
      <c r="A337" s="771">
        <v>8</v>
      </c>
      <c r="B337" s="327">
        <f>'1. Detailed Budget POA'!W21</f>
        <v>0</v>
      </c>
      <c r="C337" s="771" t="s">
        <v>303</v>
      </c>
      <c r="D337" s="771" t="s">
        <v>304</v>
      </c>
      <c r="E337" s="328">
        <f>'1. Detailed Budget POA'!Z21</f>
        <v>0</v>
      </c>
      <c r="F337" s="8"/>
      <c r="G337" s="328">
        <f t="shared" si="7"/>
        <v>0</v>
      </c>
      <c r="H337" s="771"/>
      <c r="I337" s="771" t="s">
        <v>305</v>
      </c>
      <c r="J337" s="771" t="s">
        <v>308</v>
      </c>
      <c r="K337" s="8"/>
      <c r="L337" s="8"/>
      <c r="M337" s="8"/>
    </row>
    <row r="338" spans="1:13" ht="26.45" hidden="1" outlineLevel="1">
      <c r="A338" s="771">
        <v>9</v>
      </c>
      <c r="B338" s="327">
        <f>'1. Detailed Budget POA'!W22</f>
        <v>0</v>
      </c>
      <c r="C338" s="771" t="s">
        <v>303</v>
      </c>
      <c r="D338" s="771" t="s">
        <v>304</v>
      </c>
      <c r="E338" s="328">
        <f>'1. Detailed Budget POA'!Z22</f>
        <v>0</v>
      </c>
      <c r="F338" s="8"/>
      <c r="G338" s="328">
        <f t="shared" si="7"/>
        <v>0</v>
      </c>
      <c r="H338" s="771"/>
      <c r="I338" s="771" t="s">
        <v>305</v>
      </c>
      <c r="J338" s="771" t="s">
        <v>308</v>
      </c>
      <c r="K338" s="8"/>
      <c r="L338" s="8"/>
      <c r="M338" s="8"/>
    </row>
    <row r="339" spans="1:13" ht="26.45" hidden="1" outlineLevel="1">
      <c r="A339" s="771">
        <v>10</v>
      </c>
      <c r="B339" s="327">
        <f>'1. Detailed Budget POA'!W24</f>
        <v>0</v>
      </c>
      <c r="C339" s="771" t="s">
        <v>303</v>
      </c>
      <c r="D339" s="771" t="s">
        <v>304</v>
      </c>
      <c r="E339" s="328">
        <f>'1. Detailed Budget POA'!Z24</f>
        <v>0</v>
      </c>
      <c r="F339" s="8"/>
      <c r="G339" s="328">
        <f t="shared" si="7"/>
        <v>0</v>
      </c>
      <c r="H339" s="771"/>
      <c r="I339" s="771" t="s">
        <v>305</v>
      </c>
      <c r="J339" s="771" t="s">
        <v>308</v>
      </c>
      <c r="K339" s="8"/>
      <c r="L339" s="8"/>
      <c r="M339" s="8"/>
    </row>
    <row r="340" spans="1:13" ht="26.45" hidden="1" outlineLevel="1">
      <c r="A340" s="771">
        <v>11</v>
      </c>
      <c r="B340" s="327" t="e">
        <f>'1. Detailed Budget POA'!#REF!</f>
        <v>#REF!</v>
      </c>
      <c r="C340" s="771" t="s">
        <v>303</v>
      </c>
      <c r="D340" s="771" t="s">
        <v>304</v>
      </c>
      <c r="E340" s="328" t="e">
        <f>'1. Detailed Budget POA'!#REF!</f>
        <v>#REF!</v>
      </c>
      <c r="F340" s="8"/>
      <c r="G340" s="328" t="e">
        <f t="shared" si="7"/>
        <v>#REF!</v>
      </c>
      <c r="H340" s="771"/>
      <c r="I340" s="771" t="s">
        <v>305</v>
      </c>
      <c r="J340" s="771" t="s">
        <v>308</v>
      </c>
      <c r="K340" s="8"/>
      <c r="L340" s="8"/>
      <c r="M340" s="8"/>
    </row>
    <row r="341" spans="1:13" ht="26.45" hidden="1" outlineLevel="1">
      <c r="A341" s="771">
        <v>12</v>
      </c>
      <c r="B341" s="327" t="e">
        <f>'1. Detailed Budget POA'!#REF!</f>
        <v>#REF!</v>
      </c>
      <c r="C341" s="771" t="s">
        <v>303</v>
      </c>
      <c r="D341" s="771" t="s">
        <v>304</v>
      </c>
      <c r="E341" s="328" t="e">
        <f>'1. Detailed Budget POA'!#REF!</f>
        <v>#REF!</v>
      </c>
      <c r="F341" s="8"/>
      <c r="G341" s="328" t="e">
        <f t="shared" si="7"/>
        <v>#REF!</v>
      </c>
      <c r="H341" s="771"/>
      <c r="I341" s="771" t="s">
        <v>305</v>
      </c>
      <c r="J341" s="771" t="s">
        <v>308</v>
      </c>
      <c r="K341" s="8"/>
      <c r="L341" s="8"/>
      <c r="M341" s="8"/>
    </row>
    <row r="342" spans="1:13" ht="26.45" hidden="1" outlineLevel="1">
      <c r="A342" s="771">
        <v>13</v>
      </c>
      <c r="B342" s="327" t="e">
        <f>'1. Detailed Budget POA'!#REF!</f>
        <v>#REF!</v>
      </c>
      <c r="C342" s="771" t="s">
        <v>303</v>
      </c>
      <c r="D342" s="771" t="s">
        <v>304</v>
      </c>
      <c r="E342" s="328" t="e">
        <f>'1. Detailed Budget POA'!#REF!</f>
        <v>#REF!</v>
      </c>
      <c r="F342" s="8"/>
      <c r="G342" s="328" t="e">
        <f t="shared" si="7"/>
        <v>#REF!</v>
      </c>
      <c r="H342" s="771"/>
      <c r="I342" s="771" t="s">
        <v>305</v>
      </c>
      <c r="J342" s="771" t="s">
        <v>308</v>
      </c>
      <c r="K342" s="8"/>
      <c r="L342" s="8"/>
      <c r="M342" s="8"/>
    </row>
    <row r="343" spans="1:13" ht="26.45" hidden="1" outlineLevel="1">
      <c r="A343" s="771">
        <v>14</v>
      </c>
      <c r="B343" s="327" t="e">
        <f>'1. Detailed Budget POA'!#REF!</f>
        <v>#REF!</v>
      </c>
      <c r="C343" s="771" t="s">
        <v>303</v>
      </c>
      <c r="D343" s="771" t="s">
        <v>304</v>
      </c>
      <c r="E343" s="328" t="e">
        <f>'1. Detailed Budget POA'!#REF!</f>
        <v>#REF!</v>
      </c>
      <c r="F343" s="8"/>
      <c r="G343" s="328" t="e">
        <f t="shared" si="7"/>
        <v>#REF!</v>
      </c>
      <c r="H343" s="771"/>
      <c r="I343" s="771" t="s">
        <v>305</v>
      </c>
      <c r="J343" s="771" t="s">
        <v>308</v>
      </c>
      <c r="K343" s="8"/>
      <c r="L343" s="8"/>
      <c r="M343" s="8"/>
    </row>
    <row r="344" spans="1:13" ht="26.45" hidden="1" outlineLevel="1">
      <c r="A344" s="771">
        <v>15</v>
      </c>
      <c r="B344" s="327" t="e">
        <f>'1. Detailed Budget POA'!#REF!</f>
        <v>#REF!</v>
      </c>
      <c r="C344" s="771" t="s">
        <v>303</v>
      </c>
      <c r="D344" s="771" t="s">
        <v>304</v>
      </c>
      <c r="E344" s="328" t="e">
        <f>'1. Detailed Budget POA'!#REF!</f>
        <v>#REF!</v>
      </c>
      <c r="F344" s="8"/>
      <c r="G344" s="328" t="e">
        <f t="shared" si="7"/>
        <v>#REF!</v>
      </c>
      <c r="H344" s="771"/>
      <c r="I344" s="771" t="s">
        <v>305</v>
      </c>
      <c r="J344" s="771" t="s">
        <v>308</v>
      </c>
      <c r="K344" s="8"/>
      <c r="L344" s="8"/>
      <c r="M344" s="8"/>
    </row>
    <row r="345" spans="1:13" ht="26.45" hidden="1" outlineLevel="1">
      <c r="A345" s="771">
        <v>16</v>
      </c>
      <c r="B345" s="327" t="e">
        <f>'1. Detailed Budget POA'!#REF!</f>
        <v>#REF!</v>
      </c>
      <c r="C345" s="771" t="s">
        <v>303</v>
      </c>
      <c r="D345" s="771" t="s">
        <v>304</v>
      </c>
      <c r="E345" s="328" t="e">
        <f>'1. Detailed Budget POA'!#REF!</f>
        <v>#REF!</v>
      </c>
      <c r="F345" s="8"/>
      <c r="G345" s="328" t="e">
        <f t="shared" si="7"/>
        <v>#REF!</v>
      </c>
      <c r="H345" s="771"/>
      <c r="I345" s="771" t="s">
        <v>305</v>
      </c>
      <c r="J345" s="771" t="s">
        <v>308</v>
      </c>
      <c r="K345" s="8"/>
      <c r="L345" s="8"/>
      <c r="M345" s="8"/>
    </row>
    <row r="346" spans="1:13" ht="26.45" hidden="1" outlineLevel="1">
      <c r="A346" s="771">
        <v>17</v>
      </c>
      <c r="B346" s="327" t="e">
        <f>'1. Detailed Budget POA'!#REF!</f>
        <v>#REF!</v>
      </c>
      <c r="C346" s="771" t="s">
        <v>303</v>
      </c>
      <c r="D346" s="771" t="s">
        <v>304</v>
      </c>
      <c r="E346" s="328" t="e">
        <f>'1. Detailed Budget POA'!#REF!</f>
        <v>#REF!</v>
      </c>
      <c r="F346" s="8"/>
      <c r="G346" s="328" t="e">
        <f t="shared" si="7"/>
        <v>#REF!</v>
      </c>
      <c r="H346" s="771"/>
      <c r="I346" s="771" t="s">
        <v>305</v>
      </c>
      <c r="J346" s="771" t="s">
        <v>308</v>
      </c>
      <c r="K346" s="8"/>
      <c r="L346" s="8"/>
      <c r="M346" s="8"/>
    </row>
    <row r="347" spans="1:13" ht="26.45" hidden="1" outlineLevel="1">
      <c r="A347" s="771">
        <v>20</v>
      </c>
      <c r="B347" s="327" t="e">
        <f>'1. Detailed Budget POA'!#REF!</f>
        <v>#REF!</v>
      </c>
      <c r="C347" s="771" t="s">
        <v>303</v>
      </c>
      <c r="D347" s="771" t="s">
        <v>304</v>
      </c>
      <c r="E347" s="328" t="e">
        <f>'1. Detailed Budget POA'!#REF!</f>
        <v>#REF!</v>
      </c>
      <c r="F347" s="8"/>
      <c r="G347" s="328" t="e">
        <f t="shared" si="7"/>
        <v>#REF!</v>
      </c>
      <c r="H347" s="771"/>
      <c r="I347" s="771" t="s">
        <v>305</v>
      </c>
      <c r="J347" s="771" t="s">
        <v>308</v>
      </c>
      <c r="K347" s="8"/>
      <c r="L347" s="8"/>
      <c r="M347" s="8"/>
    </row>
    <row r="348" spans="1:13" ht="26.45" hidden="1" outlineLevel="1">
      <c r="A348" s="771">
        <v>21</v>
      </c>
      <c r="B348" s="327" t="e">
        <f>'1. Detailed Budget POA'!#REF!</f>
        <v>#REF!</v>
      </c>
      <c r="C348" s="771" t="s">
        <v>303</v>
      </c>
      <c r="D348" s="771" t="s">
        <v>304</v>
      </c>
      <c r="E348" s="328" t="e">
        <f>'1. Detailed Budget POA'!#REF!</f>
        <v>#REF!</v>
      </c>
      <c r="F348" s="8"/>
      <c r="G348" s="328" t="e">
        <f t="shared" si="7"/>
        <v>#REF!</v>
      </c>
      <c r="H348" s="771"/>
      <c r="I348" s="771" t="s">
        <v>305</v>
      </c>
      <c r="J348" s="771" t="s">
        <v>308</v>
      </c>
      <c r="K348" s="8"/>
      <c r="L348" s="8"/>
      <c r="M348" s="8"/>
    </row>
    <row r="349" spans="1:13" ht="26.45" hidden="1" outlineLevel="1">
      <c r="A349" s="771">
        <v>22</v>
      </c>
      <c r="B349" s="327" t="e">
        <f>'1. Detailed Budget POA'!#REF!</f>
        <v>#REF!</v>
      </c>
      <c r="C349" s="771" t="s">
        <v>303</v>
      </c>
      <c r="D349" s="771" t="s">
        <v>304</v>
      </c>
      <c r="E349" s="328" t="e">
        <f>'1. Detailed Budget POA'!#REF!</f>
        <v>#REF!</v>
      </c>
      <c r="F349" s="8"/>
      <c r="G349" s="328" t="e">
        <f t="shared" si="7"/>
        <v>#REF!</v>
      </c>
      <c r="H349" s="771"/>
      <c r="I349" s="771" t="s">
        <v>305</v>
      </c>
      <c r="J349" s="771" t="s">
        <v>308</v>
      </c>
      <c r="K349" s="8"/>
      <c r="L349" s="8"/>
      <c r="M349" s="8"/>
    </row>
    <row r="350" spans="1:13" ht="26.45" hidden="1" outlineLevel="1">
      <c r="A350" s="771">
        <v>23</v>
      </c>
      <c r="B350" s="327">
        <f>'1. Detailed Budget POA'!W37</f>
        <v>0</v>
      </c>
      <c r="C350" s="771" t="s">
        <v>303</v>
      </c>
      <c r="D350" s="771" t="s">
        <v>304</v>
      </c>
      <c r="E350" s="328">
        <f>'1. Detailed Budget POA'!Z37</f>
        <v>0</v>
      </c>
      <c r="F350" s="8"/>
      <c r="G350" s="328">
        <f t="shared" si="7"/>
        <v>0</v>
      </c>
      <c r="H350" s="771"/>
      <c r="I350" s="771" t="s">
        <v>305</v>
      </c>
      <c r="J350" s="771" t="s">
        <v>308</v>
      </c>
      <c r="K350" s="8"/>
      <c r="L350" s="8"/>
      <c r="M350" s="8"/>
    </row>
    <row r="351" spans="1:13" ht="26.45" hidden="1" outlineLevel="1">
      <c r="A351" s="771">
        <v>24</v>
      </c>
      <c r="B351" s="327">
        <f>'1. Detailed Budget POA'!W38</f>
        <v>0</v>
      </c>
      <c r="C351" s="771" t="s">
        <v>303</v>
      </c>
      <c r="D351" s="771" t="s">
        <v>304</v>
      </c>
      <c r="E351" s="328">
        <f>'1. Detailed Budget POA'!Z38</f>
        <v>0</v>
      </c>
      <c r="F351" s="8"/>
      <c r="G351" s="328">
        <f t="shared" si="7"/>
        <v>0</v>
      </c>
      <c r="H351" s="771"/>
      <c r="I351" s="771" t="s">
        <v>305</v>
      </c>
      <c r="J351" s="771" t="s">
        <v>308</v>
      </c>
      <c r="K351" s="8"/>
      <c r="L351" s="8"/>
      <c r="M351" s="8"/>
    </row>
    <row r="352" spans="1:13" ht="26.45" hidden="1" outlineLevel="1">
      <c r="A352" s="771">
        <v>25</v>
      </c>
      <c r="B352" s="327" t="e">
        <f>'1. Detailed Budget POA'!#REF!</f>
        <v>#REF!</v>
      </c>
      <c r="C352" s="771" t="s">
        <v>303</v>
      </c>
      <c r="D352" s="771" t="s">
        <v>304</v>
      </c>
      <c r="E352" s="328" t="e">
        <f>'1. Detailed Budget POA'!#REF!</f>
        <v>#REF!</v>
      </c>
      <c r="F352" s="8"/>
      <c r="G352" s="328" t="e">
        <f t="shared" si="7"/>
        <v>#REF!</v>
      </c>
      <c r="H352" s="771"/>
      <c r="I352" s="771" t="s">
        <v>305</v>
      </c>
      <c r="J352" s="771" t="s">
        <v>308</v>
      </c>
      <c r="K352" s="8"/>
      <c r="L352" s="8"/>
      <c r="M352" s="8"/>
    </row>
    <row r="353" spans="1:13" ht="26.45" hidden="1" outlineLevel="1">
      <c r="A353" s="771">
        <v>31</v>
      </c>
      <c r="B353" s="327" t="e">
        <f>'1. Detailed Budget POA'!#REF!</f>
        <v>#REF!</v>
      </c>
      <c r="C353" s="771" t="s">
        <v>303</v>
      </c>
      <c r="D353" s="771" t="s">
        <v>304</v>
      </c>
      <c r="E353" s="328" t="e">
        <f>'1. Detailed Budget POA'!#REF!</f>
        <v>#REF!</v>
      </c>
      <c r="F353" s="8"/>
      <c r="G353" s="328" t="e">
        <f t="shared" si="7"/>
        <v>#REF!</v>
      </c>
      <c r="H353" s="771"/>
      <c r="I353" s="771" t="s">
        <v>305</v>
      </c>
      <c r="J353" s="771" t="s">
        <v>308</v>
      </c>
      <c r="K353" s="8"/>
      <c r="L353" s="8"/>
      <c r="M353" s="8"/>
    </row>
    <row r="354" spans="1:13" ht="26.45" hidden="1" outlineLevel="1">
      <c r="A354" s="771">
        <v>32</v>
      </c>
      <c r="B354" s="327" t="e">
        <f>'1. Detailed Budget POA'!#REF!</f>
        <v>#REF!</v>
      </c>
      <c r="C354" s="771" t="s">
        <v>303</v>
      </c>
      <c r="D354" s="771" t="s">
        <v>304</v>
      </c>
      <c r="E354" s="328" t="e">
        <f>'1. Detailed Budget POA'!#REF!</f>
        <v>#REF!</v>
      </c>
      <c r="F354" s="8"/>
      <c r="G354" s="328" t="e">
        <f t="shared" si="7"/>
        <v>#REF!</v>
      </c>
      <c r="H354" s="771"/>
      <c r="I354" s="771" t="s">
        <v>305</v>
      </c>
      <c r="J354" s="771" t="s">
        <v>308</v>
      </c>
      <c r="K354" s="8"/>
      <c r="L354" s="8"/>
      <c r="M354" s="8"/>
    </row>
    <row r="355" spans="1:13" ht="26.45" hidden="1" outlineLevel="1">
      <c r="A355" s="771">
        <v>33</v>
      </c>
      <c r="B355" s="327" t="e">
        <f>'1. Detailed Budget POA'!#REF!</f>
        <v>#REF!</v>
      </c>
      <c r="C355" s="771" t="s">
        <v>303</v>
      </c>
      <c r="D355" s="771" t="s">
        <v>304</v>
      </c>
      <c r="E355" s="328" t="e">
        <f>'1. Detailed Budget POA'!#REF!</f>
        <v>#REF!</v>
      </c>
      <c r="F355" s="8"/>
      <c r="G355" s="328" t="e">
        <f t="shared" si="7"/>
        <v>#REF!</v>
      </c>
      <c r="H355" s="771"/>
      <c r="I355" s="771" t="s">
        <v>305</v>
      </c>
      <c r="J355" s="771" t="s">
        <v>308</v>
      </c>
      <c r="K355" s="8"/>
      <c r="L355" s="8"/>
      <c r="M355" s="8"/>
    </row>
    <row r="356" spans="1:13" ht="26.45" hidden="1" outlineLevel="1">
      <c r="A356" s="771">
        <v>38</v>
      </c>
      <c r="B356" s="327" t="e">
        <f>'1. Detailed Budget POA'!#REF!</f>
        <v>#REF!</v>
      </c>
      <c r="C356" s="771" t="s">
        <v>303</v>
      </c>
      <c r="D356" s="771" t="s">
        <v>304</v>
      </c>
      <c r="E356" s="328" t="e">
        <f>'1. Detailed Budget POA'!#REF!</f>
        <v>#REF!</v>
      </c>
      <c r="F356" s="8"/>
      <c r="G356" s="328" t="e">
        <f t="shared" si="7"/>
        <v>#REF!</v>
      </c>
      <c r="H356" s="771"/>
      <c r="I356" s="771" t="s">
        <v>305</v>
      </c>
      <c r="J356" s="771" t="s">
        <v>308</v>
      </c>
      <c r="K356" s="8"/>
      <c r="L356" s="8"/>
      <c r="M356" s="8"/>
    </row>
    <row r="357" spans="1:13" ht="26.45" hidden="1" outlineLevel="1">
      <c r="A357" s="771">
        <v>39</v>
      </c>
      <c r="B357" s="327" t="e">
        <f>'1. Detailed Budget POA'!#REF!</f>
        <v>#REF!</v>
      </c>
      <c r="C357" s="771" t="s">
        <v>303</v>
      </c>
      <c r="D357" s="771" t="s">
        <v>304</v>
      </c>
      <c r="E357" s="328" t="e">
        <f>'1. Detailed Budget POA'!#REF!</f>
        <v>#REF!</v>
      </c>
      <c r="F357" s="8"/>
      <c r="G357" s="328" t="e">
        <f t="shared" si="7"/>
        <v>#REF!</v>
      </c>
      <c r="H357" s="771"/>
      <c r="I357" s="771" t="s">
        <v>305</v>
      </c>
      <c r="J357" s="771" t="s">
        <v>308</v>
      </c>
      <c r="K357" s="8"/>
      <c r="L357" s="8"/>
      <c r="M357" s="8"/>
    </row>
    <row r="358" spans="1:13" ht="26.45" hidden="1" outlineLevel="1">
      <c r="A358" s="771">
        <v>40</v>
      </c>
      <c r="B358" s="327" t="e">
        <f>'1. Detailed Budget POA'!#REF!</f>
        <v>#REF!</v>
      </c>
      <c r="C358" s="771" t="s">
        <v>303</v>
      </c>
      <c r="D358" s="771" t="s">
        <v>304</v>
      </c>
      <c r="E358" s="328" t="e">
        <f>'1. Detailed Budget POA'!#REF!</f>
        <v>#REF!</v>
      </c>
      <c r="F358" s="8"/>
      <c r="G358" s="328" t="e">
        <f t="shared" si="7"/>
        <v>#REF!</v>
      </c>
      <c r="H358" s="771"/>
      <c r="I358" s="771" t="s">
        <v>305</v>
      </c>
      <c r="J358" s="771" t="s">
        <v>308</v>
      </c>
      <c r="K358" s="8"/>
      <c r="L358" s="8"/>
      <c r="M358" s="8"/>
    </row>
    <row r="359" spans="1:13" ht="26.45" hidden="1" outlineLevel="1">
      <c r="A359" s="771">
        <v>41</v>
      </c>
      <c r="B359" s="327" t="e">
        <f>'1. Detailed Budget POA'!#REF!</f>
        <v>#REF!</v>
      </c>
      <c r="C359" s="771" t="s">
        <v>303</v>
      </c>
      <c r="D359" s="771" t="s">
        <v>304</v>
      </c>
      <c r="E359" s="328" t="e">
        <f>'1. Detailed Budget POA'!#REF!</f>
        <v>#REF!</v>
      </c>
      <c r="F359" s="8"/>
      <c r="G359" s="328" t="e">
        <f t="shared" si="7"/>
        <v>#REF!</v>
      </c>
      <c r="H359" s="771"/>
      <c r="I359" s="771" t="s">
        <v>305</v>
      </c>
      <c r="J359" s="771" t="s">
        <v>308</v>
      </c>
      <c r="K359" s="8"/>
      <c r="L359" s="8"/>
      <c r="M359" s="8"/>
    </row>
    <row r="360" spans="1:13" ht="26.45" hidden="1" outlineLevel="1">
      <c r="A360" s="771">
        <v>42</v>
      </c>
      <c r="B360" s="327" t="e">
        <f>'1. Detailed Budget POA'!#REF!</f>
        <v>#REF!</v>
      </c>
      <c r="C360" s="771" t="s">
        <v>303</v>
      </c>
      <c r="D360" s="771" t="s">
        <v>304</v>
      </c>
      <c r="E360" s="328" t="e">
        <f>'1. Detailed Budget POA'!#REF!</f>
        <v>#REF!</v>
      </c>
      <c r="F360" s="8"/>
      <c r="G360" s="328" t="e">
        <f t="shared" si="7"/>
        <v>#REF!</v>
      </c>
      <c r="H360" s="771"/>
      <c r="I360" s="771" t="s">
        <v>305</v>
      </c>
      <c r="J360" s="771" t="s">
        <v>308</v>
      </c>
      <c r="K360" s="8"/>
      <c r="L360" s="8"/>
      <c r="M360" s="8"/>
    </row>
    <row r="361" spans="1:13" ht="26.45" hidden="1" outlineLevel="1">
      <c r="A361" s="771">
        <v>43</v>
      </c>
      <c r="B361" s="327">
        <f>'1. Detailed Budget POA'!W39</f>
        <v>0</v>
      </c>
      <c r="C361" s="771" t="s">
        <v>303</v>
      </c>
      <c r="D361" s="771" t="s">
        <v>304</v>
      </c>
      <c r="E361" s="328">
        <f>'1. Detailed Budget POA'!Z39</f>
        <v>0</v>
      </c>
      <c r="F361" s="8"/>
      <c r="G361" s="328">
        <f t="shared" si="7"/>
        <v>0</v>
      </c>
      <c r="H361" s="771"/>
      <c r="I361" s="771" t="s">
        <v>305</v>
      </c>
      <c r="J361" s="771" t="s">
        <v>308</v>
      </c>
      <c r="K361" s="8"/>
      <c r="L361" s="8"/>
      <c r="M361" s="8"/>
    </row>
    <row r="362" spans="1:13" ht="26.45" hidden="1" outlineLevel="1">
      <c r="A362" s="771">
        <v>44</v>
      </c>
      <c r="B362" s="327">
        <f>'1. Detailed Budget POA'!W40</f>
        <v>0</v>
      </c>
      <c r="C362" s="771" t="s">
        <v>303</v>
      </c>
      <c r="D362" s="771" t="s">
        <v>304</v>
      </c>
      <c r="E362" s="328">
        <f>'1. Detailed Budget POA'!Z40</f>
        <v>0</v>
      </c>
      <c r="F362" s="8"/>
      <c r="G362" s="328">
        <f t="shared" si="7"/>
        <v>0</v>
      </c>
      <c r="H362" s="771"/>
      <c r="I362" s="771" t="s">
        <v>305</v>
      </c>
      <c r="J362" s="771" t="s">
        <v>308</v>
      </c>
      <c r="K362" s="8"/>
      <c r="L362" s="8"/>
      <c r="M362" s="8"/>
    </row>
    <row r="363" spans="1:13" ht="26.45" hidden="1" outlineLevel="1">
      <c r="A363" s="771">
        <v>45</v>
      </c>
      <c r="B363" s="327">
        <f>'1. Detailed Budget POA'!W42</f>
        <v>0</v>
      </c>
      <c r="C363" s="771" t="s">
        <v>303</v>
      </c>
      <c r="D363" s="771" t="s">
        <v>304</v>
      </c>
      <c r="E363" s="328">
        <f>'1. Detailed Budget POA'!Z42</f>
        <v>0</v>
      </c>
      <c r="F363" s="8"/>
      <c r="G363" s="328">
        <f t="shared" si="7"/>
        <v>0</v>
      </c>
      <c r="H363" s="771"/>
      <c r="I363" s="771" t="s">
        <v>305</v>
      </c>
      <c r="J363" s="771" t="s">
        <v>308</v>
      </c>
      <c r="K363" s="8"/>
      <c r="L363" s="8"/>
      <c r="M363" s="8"/>
    </row>
    <row r="364" spans="1:13" ht="26.45" hidden="1" outlineLevel="1">
      <c r="A364" s="771">
        <v>46</v>
      </c>
      <c r="B364" s="327">
        <f>'1. Detailed Budget POA'!W43</f>
        <v>0</v>
      </c>
      <c r="C364" s="771" t="s">
        <v>303</v>
      </c>
      <c r="D364" s="771" t="s">
        <v>304</v>
      </c>
      <c r="E364" s="328">
        <f>'1. Detailed Budget POA'!Z43</f>
        <v>0</v>
      </c>
      <c r="F364" s="8"/>
      <c r="G364" s="328">
        <f t="shared" si="7"/>
        <v>0</v>
      </c>
      <c r="H364" s="771"/>
      <c r="I364" s="771" t="s">
        <v>305</v>
      </c>
      <c r="J364" s="771" t="s">
        <v>308</v>
      </c>
      <c r="K364" s="8"/>
      <c r="L364" s="8"/>
      <c r="M364" s="8"/>
    </row>
    <row r="365" spans="1:13" ht="26.45" hidden="1" outlineLevel="1">
      <c r="A365" s="771">
        <v>47</v>
      </c>
      <c r="B365" s="327">
        <f>'1. Detailed Budget POA'!W44</f>
        <v>0</v>
      </c>
      <c r="C365" s="771" t="s">
        <v>303</v>
      </c>
      <c r="D365" s="771" t="s">
        <v>304</v>
      </c>
      <c r="E365" s="328">
        <f>'1. Detailed Budget POA'!Z44</f>
        <v>0</v>
      </c>
      <c r="F365" s="8"/>
      <c r="G365" s="328">
        <f t="shared" si="7"/>
        <v>0</v>
      </c>
      <c r="H365" s="771"/>
      <c r="I365" s="771" t="s">
        <v>305</v>
      </c>
      <c r="J365" s="771" t="s">
        <v>308</v>
      </c>
      <c r="K365" s="8"/>
      <c r="L365" s="8"/>
      <c r="M365" s="8"/>
    </row>
    <row r="366" spans="1:13" ht="26.45" hidden="1" outlineLevel="1">
      <c r="A366" s="771">
        <v>48</v>
      </c>
      <c r="B366" s="327" t="e">
        <f>'1. Detailed Budget POA'!#REF!</f>
        <v>#REF!</v>
      </c>
      <c r="C366" s="771" t="s">
        <v>303</v>
      </c>
      <c r="D366" s="771" t="s">
        <v>304</v>
      </c>
      <c r="E366" s="328" t="e">
        <f>'1. Detailed Budget POA'!#REF!</f>
        <v>#REF!</v>
      </c>
      <c r="F366" s="8"/>
      <c r="G366" s="328" t="e">
        <f t="shared" si="7"/>
        <v>#REF!</v>
      </c>
      <c r="H366" s="771"/>
      <c r="I366" s="771" t="s">
        <v>305</v>
      </c>
      <c r="J366" s="771" t="s">
        <v>308</v>
      </c>
      <c r="K366" s="8"/>
      <c r="L366" s="8"/>
      <c r="M366" s="8"/>
    </row>
    <row r="367" spans="1:13" ht="26.45" hidden="1" outlineLevel="1">
      <c r="A367" s="771">
        <v>49</v>
      </c>
      <c r="B367" s="327" t="e">
        <f>'1. Detailed Budget POA'!#REF!</f>
        <v>#REF!</v>
      </c>
      <c r="C367" s="771" t="s">
        <v>303</v>
      </c>
      <c r="D367" s="771" t="s">
        <v>304</v>
      </c>
      <c r="E367" s="328" t="e">
        <f>'1. Detailed Budget POA'!#REF!</f>
        <v>#REF!</v>
      </c>
      <c r="F367" s="8"/>
      <c r="G367" s="328" t="e">
        <f t="shared" si="7"/>
        <v>#REF!</v>
      </c>
      <c r="H367" s="771"/>
      <c r="I367" s="771" t="s">
        <v>305</v>
      </c>
      <c r="J367" s="771" t="s">
        <v>308</v>
      </c>
      <c r="K367" s="8"/>
      <c r="L367" s="8"/>
      <c r="M367" s="8"/>
    </row>
    <row r="368" spans="1:13" ht="26.45" hidden="1" outlineLevel="1">
      <c r="A368" s="771">
        <v>50</v>
      </c>
      <c r="B368" s="327" t="e">
        <f>'1. Detailed Budget POA'!#REF!</f>
        <v>#REF!</v>
      </c>
      <c r="C368" s="771" t="s">
        <v>303</v>
      </c>
      <c r="D368" s="771" t="s">
        <v>304</v>
      </c>
      <c r="E368" s="328" t="e">
        <f>'1. Detailed Budget POA'!#REF!</f>
        <v>#REF!</v>
      </c>
      <c r="F368" s="8"/>
      <c r="G368" s="328" t="e">
        <f t="shared" si="7"/>
        <v>#REF!</v>
      </c>
      <c r="H368" s="771"/>
      <c r="I368" s="771" t="s">
        <v>305</v>
      </c>
      <c r="J368" s="771" t="s">
        <v>308</v>
      </c>
      <c r="K368" s="8"/>
      <c r="L368" s="8"/>
      <c r="M368" s="8"/>
    </row>
    <row r="369" spans="1:13" ht="26.45" hidden="1" outlineLevel="1">
      <c r="A369" s="771">
        <v>51</v>
      </c>
      <c r="B369" s="327" t="e">
        <f>'1. Detailed Budget POA'!#REF!</f>
        <v>#REF!</v>
      </c>
      <c r="C369" s="771" t="s">
        <v>303</v>
      </c>
      <c r="D369" s="771" t="s">
        <v>304</v>
      </c>
      <c r="E369" s="328" t="e">
        <f>'1. Detailed Budget POA'!#REF!</f>
        <v>#REF!</v>
      </c>
      <c r="F369" s="8"/>
      <c r="G369" s="328" t="e">
        <f t="shared" si="7"/>
        <v>#REF!</v>
      </c>
      <c r="H369" s="771"/>
      <c r="I369" s="771" t="s">
        <v>305</v>
      </c>
      <c r="J369" s="771" t="s">
        <v>308</v>
      </c>
      <c r="K369" s="8"/>
      <c r="L369" s="8"/>
      <c r="M369" s="8"/>
    </row>
    <row r="370" spans="1:13" ht="26.45" hidden="1" outlineLevel="1">
      <c r="A370" s="771">
        <v>52</v>
      </c>
      <c r="B370" s="327" t="e">
        <f>'1. Detailed Budget POA'!#REF!</f>
        <v>#REF!</v>
      </c>
      <c r="C370" s="771" t="s">
        <v>303</v>
      </c>
      <c r="D370" s="771" t="s">
        <v>304</v>
      </c>
      <c r="E370" s="328" t="e">
        <f>'1. Detailed Budget POA'!#REF!</f>
        <v>#REF!</v>
      </c>
      <c r="F370" s="8"/>
      <c r="G370" s="328" t="e">
        <f t="shared" si="7"/>
        <v>#REF!</v>
      </c>
      <c r="H370" s="771"/>
      <c r="I370" s="771" t="s">
        <v>305</v>
      </c>
      <c r="J370" s="771" t="s">
        <v>308</v>
      </c>
      <c r="K370" s="8"/>
      <c r="L370" s="8"/>
      <c r="M370" s="8"/>
    </row>
    <row r="371" spans="1:13" ht="26.45" hidden="1" outlineLevel="1">
      <c r="A371" s="771">
        <v>53</v>
      </c>
      <c r="B371" s="327" t="e">
        <f>'1. Detailed Budget POA'!#REF!</f>
        <v>#REF!</v>
      </c>
      <c r="C371" s="771" t="s">
        <v>303</v>
      </c>
      <c r="D371" s="771" t="s">
        <v>304</v>
      </c>
      <c r="E371" s="328" t="e">
        <f>'1. Detailed Budget POA'!#REF!</f>
        <v>#REF!</v>
      </c>
      <c r="F371" s="8"/>
      <c r="G371" s="328" t="e">
        <f t="shared" si="7"/>
        <v>#REF!</v>
      </c>
      <c r="H371" s="771"/>
      <c r="I371" s="771" t="s">
        <v>305</v>
      </c>
      <c r="J371" s="771" t="s">
        <v>308</v>
      </c>
      <c r="K371" s="8"/>
      <c r="L371" s="8"/>
      <c r="M371" s="8"/>
    </row>
    <row r="372" spans="1:13" ht="26.45" hidden="1" outlineLevel="1">
      <c r="A372" s="771">
        <v>54</v>
      </c>
      <c r="B372" s="327" t="e">
        <f>'1. Detailed Budget POA'!#REF!</f>
        <v>#REF!</v>
      </c>
      <c r="C372" s="771" t="s">
        <v>303</v>
      </c>
      <c r="D372" s="771" t="s">
        <v>304</v>
      </c>
      <c r="E372" s="328" t="e">
        <f>'1. Detailed Budget POA'!#REF!</f>
        <v>#REF!</v>
      </c>
      <c r="F372" s="8"/>
      <c r="G372" s="328" t="e">
        <f t="shared" si="7"/>
        <v>#REF!</v>
      </c>
      <c r="H372" s="771"/>
      <c r="I372" s="771" t="s">
        <v>305</v>
      </c>
      <c r="J372" s="771" t="s">
        <v>308</v>
      </c>
      <c r="K372" s="8"/>
      <c r="L372" s="8"/>
      <c r="M372" s="8"/>
    </row>
    <row r="373" spans="1:13" ht="26.45" hidden="1" outlineLevel="1">
      <c r="A373" s="771">
        <v>55</v>
      </c>
      <c r="B373" s="327" t="e">
        <f>'1. Detailed Budget POA'!#REF!</f>
        <v>#REF!</v>
      </c>
      <c r="C373" s="771" t="s">
        <v>303</v>
      </c>
      <c r="D373" s="771" t="s">
        <v>304</v>
      </c>
      <c r="E373" s="328" t="e">
        <f>'1. Detailed Budget POA'!#REF!</f>
        <v>#REF!</v>
      </c>
      <c r="F373" s="8"/>
      <c r="G373" s="328" t="e">
        <f t="shared" si="7"/>
        <v>#REF!</v>
      </c>
      <c r="H373" s="771"/>
      <c r="I373" s="771" t="s">
        <v>305</v>
      </c>
      <c r="J373" s="771" t="s">
        <v>308</v>
      </c>
      <c r="K373" s="8"/>
      <c r="L373" s="8"/>
      <c r="M373" s="8"/>
    </row>
    <row r="374" spans="1:13" ht="26.45" hidden="1" outlineLevel="1">
      <c r="A374" s="771">
        <v>56</v>
      </c>
      <c r="B374" s="327" t="e">
        <f>'1. Detailed Budget POA'!#REF!</f>
        <v>#REF!</v>
      </c>
      <c r="C374" s="771" t="s">
        <v>303</v>
      </c>
      <c r="D374" s="771" t="s">
        <v>304</v>
      </c>
      <c r="E374" s="328" t="e">
        <f>'1. Detailed Budget POA'!#REF!</f>
        <v>#REF!</v>
      </c>
      <c r="F374" s="8"/>
      <c r="G374" s="328" t="e">
        <f t="shared" si="7"/>
        <v>#REF!</v>
      </c>
      <c r="H374" s="771"/>
      <c r="I374" s="771" t="s">
        <v>305</v>
      </c>
      <c r="J374" s="771" t="s">
        <v>308</v>
      </c>
      <c r="K374" s="8"/>
      <c r="L374" s="8"/>
      <c r="M374" s="8"/>
    </row>
    <row r="375" spans="1:13" ht="26.45" hidden="1" outlineLevel="1">
      <c r="A375" s="771">
        <v>57</v>
      </c>
      <c r="B375" s="327" t="e">
        <f>'1. Detailed Budget POA'!#REF!</f>
        <v>#REF!</v>
      </c>
      <c r="C375" s="771" t="s">
        <v>303</v>
      </c>
      <c r="D375" s="771" t="s">
        <v>304</v>
      </c>
      <c r="E375" s="328" t="e">
        <f>'1. Detailed Budget POA'!#REF!</f>
        <v>#REF!</v>
      </c>
      <c r="F375" s="8"/>
      <c r="G375" s="328" t="e">
        <f t="shared" si="7"/>
        <v>#REF!</v>
      </c>
      <c r="H375" s="771"/>
      <c r="I375" s="771" t="s">
        <v>305</v>
      </c>
      <c r="J375" s="771" t="s">
        <v>308</v>
      </c>
      <c r="K375" s="8"/>
      <c r="L375" s="8"/>
      <c r="M375" s="8"/>
    </row>
    <row r="376" spans="1:13" ht="26.45" hidden="1" outlineLevel="1">
      <c r="A376" s="771">
        <v>58</v>
      </c>
      <c r="B376" s="327" t="e">
        <f>'1. Detailed Budget POA'!#REF!</f>
        <v>#REF!</v>
      </c>
      <c r="C376" s="771" t="s">
        <v>303</v>
      </c>
      <c r="D376" s="771" t="s">
        <v>304</v>
      </c>
      <c r="E376" s="328" t="e">
        <f>'1. Detailed Budget POA'!#REF!</f>
        <v>#REF!</v>
      </c>
      <c r="F376" s="8"/>
      <c r="G376" s="328" t="e">
        <f t="shared" si="7"/>
        <v>#REF!</v>
      </c>
      <c r="H376" s="771"/>
      <c r="I376" s="771" t="s">
        <v>305</v>
      </c>
      <c r="J376" s="771" t="s">
        <v>308</v>
      </c>
      <c r="K376" s="8"/>
      <c r="L376" s="8"/>
      <c r="M376" s="8"/>
    </row>
    <row r="377" spans="1:13" ht="26.45" hidden="1" outlineLevel="1">
      <c r="A377" s="771">
        <v>59</v>
      </c>
      <c r="B377" s="327" t="e">
        <f>'1. Detailed Budget POA'!#REF!</f>
        <v>#REF!</v>
      </c>
      <c r="C377" s="771" t="s">
        <v>303</v>
      </c>
      <c r="D377" s="771" t="s">
        <v>304</v>
      </c>
      <c r="E377" s="328" t="e">
        <f>'1. Detailed Budget POA'!#REF!</f>
        <v>#REF!</v>
      </c>
      <c r="F377" s="8"/>
      <c r="G377" s="328" t="e">
        <f t="shared" si="7"/>
        <v>#REF!</v>
      </c>
      <c r="H377" s="771"/>
      <c r="I377" s="771" t="s">
        <v>305</v>
      </c>
      <c r="J377" s="771" t="s">
        <v>308</v>
      </c>
      <c r="K377" s="8"/>
      <c r="L377" s="8"/>
      <c r="M377" s="8"/>
    </row>
    <row r="378" spans="1:13" ht="26.45" hidden="1" outlineLevel="1">
      <c r="A378" s="771">
        <v>60</v>
      </c>
      <c r="B378" s="327" t="e">
        <f>'1. Detailed Budget POA'!#REF!</f>
        <v>#REF!</v>
      </c>
      <c r="C378" s="771" t="s">
        <v>303</v>
      </c>
      <c r="D378" s="771" t="s">
        <v>304</v>
      </c>
      <c r="E378" s="328" t="e">
        <f>'1. Detailed Budget POA'!#REF!</f>
        <v>#REF!</v>
      </c>
      <c r="F378" s="8"/>
      <c r="G378" s="328" t="e">
        <f t="shared" si="7"/>
        <v>#REF!</v>
      </c>
      <c r="H378" s="771"/>
      <c r="I378" s="771" t="s">
        <v>305</v>
      </c>
      <c r="J378" s="771" t="s">
        <v>308</v>
      </c>
      <c r="K378" s="8"/>
      <c r="L378" s="8"/>
      <c r="M378" s="8"/>
    </row>
    <row r="379" spans="1:13" ht="26.45" hidden="1" outlineLevel="1">
      <c r="A379" s="771">
        <v>61</v>
      </c>
      <c r="B379" s="327" t="e">
        <f>'1. Detailed Budget POA'!#REF!</f>
        <v>#REF!</v>
      </c>
      <c r="C379" s="771" t="s">
        <v>303</v>
      </c>
      <c r="D379" s="771" t="s">
        <v>304</v>
      </c>
      <c r="E379" s="328" t="e">
        <f>'1. Detailed Budget POA'!#REF!</f>
        <v>#REF!</v>
      </c>
      <c r="F379" s="8"/>
      <c r="G379" s="328" t="e">
        <f t="shared" si="7"/>
        <v>#REF!</v>
      </c>
      <c r="H379" s="771"/>
      <c r="I379" s="771" t="s">
        <v>305</v>
      </c>
      <c r="J379" s="771" t="s">
        <v>308</v>
      </c>
      <c r="K379" s="8"/>
      <c r="L379" s="8"/>
      <c r="M379" s="8"/>
    </row>
    <row r="380" spans="1:13" ht="26.45" hidden="1" outlineLevel="1">
      <c r="A380" s="771">
        <v>62</v>
      </c>
      <c r="B380" s="327" t="e">
        <f>'1. Detailed Budget POA'!#REF!</f>
        <v>#REF!</v>
      </c>
      <c r="C380" s="771" t="s">
        <v>303</v>
      </c>
      <c r="D380" s="771" t="s">
        <v>304</v>
      </c>
      <c r="E380" s="328" t="e">
        <f>'1. Detailed Budget POA'!#REF!</f>
        <v>#REF!</v>
      </c>
      <c r="F380" s="8"/>
      <c r="G380" s="328" t="e">
        <f t="shared" si="7"/>
        <v>#REF!</v>
      </c>
      <c r="H380" s="771"/>
      <c r="I380" s="771" t="s">
        <v>305</v>
      </c>
      <c r="J380" s="771" t="s">
        <v>308</v>
      </c>
      <c r="K380" s="8"/>
      <c r="L380" s="8"/>
      <c r="M380" s="8"/>
    </row>
    <row r="381" spans="1:13" ht="26.45" hidden="1" outlineLevel="1">
      <c r="A381" s="771">
        <v>63</v>
      </c>
      <c r="B381" s="327" t="e">
        <f>'1. Detailed Budget POA'!#REF!</f>
        <v>#REF!</v>
      </c>
      <c r="C381" s="771" t="s">
        <v>303</v>
      </c>
      <c r="D381" s="771" t="s">
        <v>304</v>
      </c>
      <c r="E381" s="328" t="e">
        <f>'1. Detailed Budget POA'!#REF!</f>
        <v>#REF!</v>
      </c>
      <c r="F381" s="8"/>
      <c r="G381" s="328" t="e">
        <f t="shared" si="7"/>
        <v>#REF!</v>
      </c>
      <c r="H381" s="771"/>
      <c r="I381" s="771" t="s">
        <v>305</v>
      </c>
      <c r="J381" s="771" t="s">
        <v>308</v>
      </c>
      <c r="K381" s="8"/>
      <c r="L381" s="8"/>
      <c r="M381" s="8"/>
    </row>
    <row r="382" spans="1:13" ht="26.45" hidden="1" outlineLevel="1">
      <c r="A382" s="771">
        <v>64</v>
      </c>
      <c r="B382" s="327" t="e">
        <f>'1. Detailed Budget POA'!#REF!</f>
        <v>#REF!</v>
      </c>
      <c r="C382" s="771" t="s">
        <v>303</v>
      </c>
      <c r="D382" s="771" t="s">
        <v>304</v>
      </c>
      <c r="E382" s="328" t="e">
        <f>'1. Detailed Budget POA'!#REF!</f>
        <v>#REF!</v>
      </c>
      <c r="F382" s="8"/>
      <c r="G382" s="328" t="e">
        <f t="shared" si="7"/>
        <v>#REF!</v>
      </c>
      <c r="H382" s="771"/>
      <c r="I382" s="771" t="s">
        <v>305</v>
      </c>
      <c r="J382" s="771" t="s">
        <v>308</v>
      </c>
      <c r="K382" s="8"/>
      <c r="L382" s="8"/>
      <c r="M382" s="8"/>
    </row>
    <row r="383" spans="1:13" ht="26.45" hidden="1" outlineLevel="1">
      <c r="A383" s="771">
        <v>65</v>
      </c>
      <c r="B383" s="327" t="e">
        <f>'1. Detailed Budget POA'!#REF!</f>
        <v>#REF!</v>
      </c>
      <c r="C383" s="771" t="s">
        <v>303</v>
      </c>
      <c r="D383" s="771" t="s">
        <v>304</v>
      </c>
      <c r="E383" s="328" t="e">
        <f>'1. Detailed Budget POA'!#REF!</f>
        <v>#REF!</v>
      </c>
      <c r="F383" s="8"/>
      <c r="G383" s="328" t="e">
        <f t="shared" si="7"/>
        <v>#REF!</v>
      </c>
      <c r="H383" s="771"/>
      <c r="I383" s="771" t="s">
        <v>305</v>
      </c>
      <c r="J383" s="771" t="s">
        <v>308</v>
      </c>
      <c r="K383" s="8"/>
      <c r="L383" s="8"/>
      <c r="M383" s="8"/>
    </row>
    <row r="384" spans="1:13" ht="26.45" hidden="1" outlineLevel="1">
      <c r="A384" s="771">
        <v>66</v>
      </c>
      <c r="B384" s="327" t="e">
        <f>'1. Detailed Budget POA'!#REF!</f>
        <v>#REF!</v>
      </c>
      <c r="C384" s="771" t="s">
        <v>303</v>
      </c>
      <c r="D384" s="771" t="s">
        <v>304</v>
      </c>
      <c r="E384" s="328" t="e">
        <f>'1. Detailed Budget POA'!#REF!</f>
        <v>#REF!</v>
      </c>
      <c r="F384" s="8"/>
      <c r="G384" s="328" t="e">
        <f t="shared" ref="G384:G425" si="8">SUM(E384:F384)</f>
        <v>#REF!</v>
      </c>
      <c r="H384" s="771"/>
      <c r="I384" s="771" t="s">
        <v>305</v>
      </c>
      <c r="J384" s="771" t="s">
        <v>308</v>
      </c>
      <c r="K384" s="8"/>
      <c r="L384" s="8"/>
      <c r="M384" s="8"/>
    </row>
    <row r="385" spans="1:13" ht="26.45" hidden="1" outlineLevel="1">
      <c r="A385" s="771">
        <v>67</v>
      </c>
      <c r="B385" s="327" t="e">
        <f>'1. Detailed Budget POA'!#REF!</f>
        <v>#REF!</v>
      </c>
      <c r="C385" s="771" t="s">
        <v>303</v>
      </c>
      <c r="D385" s="771" t="s">
        <v>304</v>
      </c>
      <c r="E385" s="328" t="e">
        <f>'1. Detailed Budget POA'!#REF!</f>
        <v>#REF!</v>
      </c>
      <c r="F385" s="8"/>
      <c r="G385" s="328" t="e">
        <f t="shared" si="8"/>
        <v>#REF!</v>
      </c>
      <c r="H385" s="771"/>
      <c r="I385" s="771" t="s">
        <v>305</v>
      </c>
      <c r="J385" s="771" t="s">
        <v>308</v>
      </c>
      <c r="K385" s="8"/>
      <c r="L385" s="8"/>
      <c r="M385" s="8"/>
    </row>
    <row r="386" spans="1:13" ht="26.45" hidden="1" outlineLevel="1">
      <c r="A386" s="771">
        <v>78</v>
      </c>
      <c r="B386" s="327" t="e">
        <f>'1. Detailed Budget POA'!#REF!</f>
        <v>#REF!</v>
      </c>
      <c r="C386" s="771" t="s">
        <v>303</v>
      </c>
      <c r="D386" s="771" t="s">
        <v>304</v>
      </c>
      <c r="E386" s="328" t="e">
        <f>'1. Detailed Budget POA'!#REF!</f>
        <v>#REF!</v>
      </c>
      <c r="F386" s="8"/>
      <c r="G386" s="328" t="e">
        <f t="shared" si="8"/>
        <v>#REF!</v>
      </c>
      <c r="H386" s="771"/>
      <c r="I386" s="771" t="s">
        <v>305</v>
      </c>
      <c r="J386" s="771" t="s">
        <v>308</v>
      </c>
      <c r="K386" s="8"/>
      <c r="L386" s="8"/>
      <c r="M386" s="8"/>
    </row>
    <row r="387" spans="1:13" ht="26.45" hidden="1" outlineLevel="1">
      <c r="A387" s="771">
        <v>85</v>
      </c>
      <c r="B387" s="327" t="e">
        <f>'1. Detailed Budget POA'!#REF!</f>
        <v>#REF!</v>
      </c>
      <c r="C387" s="771" t="s">
        <v>303</v>
      </c>
      <c r="D387" s="771" t="s">
        <v>304</v>
      </c>
      <c r="E387" s="328" t="e">
        <f>'1. Detailed Budget POA'!#REF!</f>
        <v>#REF!</v>
      </c>
      <c r="F387" s="8"/>
      <c r="G387" s="328" t="e">
        <f t="shared" si="8"/>
        <v>#REF!</v>
      </c>
      <c r="H387" s="771"/>
      <c r="I387" s="771" t="s">
        <v>305</v>
      </c>
      <c r="J387" s="771" t="s">
        <v>308</v>
      </c>
      <c r="K387" s="8"/>
      <c r="L387" s="8"/>
      <c r="M387" s="8"/>
    </row>
    <row r="388" spans="1:13" ht="26.45" hidden="1" outlineLevel="1">
      <c r="A388" s="771">
        <v>86</v>
      </c>
      <c r="B388" s="327" t="e">
        <f>'1. Detailed Budget POA'!#REF!</f>
        <v>#REF!</v>
      </c>
      <c r="C388" s="771" t="s">
        <v>303</v>
      </c>
      <c r="D388" s="771" t="s">
        <v>304</v>
      </c>
      <c r="E388" s="328" t="e">
        <f>'1. Detailed Budget POA'!#REF!</f>
        <v>#REF!</v>
      </c>
      <c r="F388" s="8"/>
      <c r="G388" s="328" t="e">
        <f t="shared" si="8"/>
        <v>#REF!</v>
      </c>
      <c r="H388" s="771"/>
      <c r="I388" s="771" t="s">
        <v>305</v>
      </c>
      <c r="J388" s="771" t="s">
        <v>308</v>
      </c>
      <c r="K388" s="8"/>
      <c r="L388" s="8"/>
      <c r="M388" s="8"/>
    </row>
    <row r="389" spans="1:13" ht="26.45" hidden="1" outlineLevel="1">
      <c r="A389" s="771">
        <v>87</v>
      </c>
      <c r="B389" s="327" t="e">
        <f>'1. Detailed Budget POA'!#REF!</f>
        <v>#REF!</v>
      </c>
      <c r="C389" s="771" t="s">
        <v>303</v>
      </c>
      <c r="D389" s="771" t="s">
        <v>304</v>
      </c>
      <c r="E389" s="328" t="e">
        <f>'1. Detailed Budget POA'!#REF!</f>
        <v>#REF!</v>
      </c>
      <c r="F389" s="8"/>
      <c r="G389" s="328" t="e">
        <f t="shared" si="8"/>
        <v>#REF!</v>
      </c>
      <c r="H389" s="771"/>
      <c r="I389" s="771" t="s">
        <v>305</v>
      </c>
      <c r="J389" s="771" t="s">
        <v>308</v>
      </c>
      <c r="K389" s="8"/>
      <c r="L389" s="8"/>
      <c r="M389" s="8"/>
    </row>
    <row r="390" spans="1:13" ht="26.45" hidden="1" outlineLevel="1">
      <c r="A390" s="771">
        <v>88</v>
      </c>
      <c r="B390" s="327" t="e">
        <f>'1. Detailed Budget POA'!#REF!</f>
        <v>#REF!</v>
      </c>
      <c r="C390" s="771" t="s">
        <v>303</v>
      </c>
      <c r="D390" s="771" t="s">
        <v>304</v>
      </c>
      <c r="E390" s="328" t="e">
        <f>'1. Detailed Budget POA'!#REF!</f>
        <v>#REF!</v>
      </c>
      <c r="F390" s="8"/>
      <c r="G390" s="328" t="e">
        <f t="shared" si="8"/>
        <v>#REF!</v>
      </c>
      <c r="H390" s="771"/>
      <c r="I390" s="771" t="s">
        <v>305</v>
      </c>
      <c r="J390" s="771" t="s">
        <v>308</v>
      </c>
      <c r="K390" s="8"/>
      <c r="L390" s="8"/>
      <c r="M390" s="8"/>
    </row>
    <row r="391" spans="1:13" ht="26.45" hidden="1" outlineLevel="1">
      <c r="A391" s="771">
        <v>89</v>
      </c>
      <c r="B391" s="327" t="e">
        <f>'1. Detailed Budget POA'!#REF!</f>
        <v>#REF!</v>
      </c>
      <c r="C391" s="771" t="s">
        <v>303</v>
      </c>
      <c r="D391" s="771" t="s">
        <v>304</v>
      </c>
      <c r="E391" s="328" t="e">
        <f>'1. Detailed Budget POA'!#REF!</f>
        <v>#REF!</v>
      </c>
      <c r="F391" s="8"/>
      <c r="G391" s="328" t="e">
        <f t="shared" si="8"/>
        <v>#REF!</v>
      </c>
      <c r="H391" s="771"/>
      <c r="I391" s="771" t="s">
        <v>305</v>
      </c>
      <c r="J391" s="771" t="s">
        <v>308</v>
      </c>
      <c r="K391" s="8"/>
      <c r="L391" s="8"/>
      <c r="M391" s="8"/>
    </row>
    <row r="392" spans="1:13" ht="26.45" hidden="1" outlineLevel="1">
      <c r="A392" s="771">
        <v>90</v>
      </c>
      <c r="B392" s="327" t="e">
        <f>'1. Detailed Budget POA'!#REF!</f>
        <v>#REF!</v>
      </c>
      <c r="C392" s="771" t="s">
        <v>303</v>
      </c>
      <c r="D392" s="771" t="s">
        <v>304</v>
      </c>
      <c r="E392" s="328" t="e">
        <f>'1. Detailed Budget POA'!#REF!</f>
        <v>#REF!</v>
      </c>
      <c r="F392" s="8"/>
      <c r="G392" s="328" t="e">
        <f t="shared" si="8"/>
        <v>#REF!</v>
      </c>
      <c r="H392" s="771"/>
      <c r="I392" s="771" t="s">
        <v>305</v>
      </c>
      <c r="J392" s="771" t="s">
        <v>308</v>
      </c>
      <c r="K392" s="8"/>
      <c r="L392" s="8"/>
      <c r="M392" s="8"/>
    </row>
    <row r="393" spans="1:13" ht="26.45" hidden="1" outlineLevel="1">
      <c r="A393" s="771">
        <v>91</v>
      </c>
      <c r="B393" s="327" t="e">
        <f>'1. Detailed Budget POA'!#REF!</f>
        <v>#REF!</v>
      </c>
      <c r="C393" s="771" t="s">
        <v>303</v>
      </c>
      <c r="D393" s="771" t="s">
        <v>304</v>
      </c>
      <c r="E393" s="328" t="e">
        <f>'1. Detailed Budget POA'!#REF!</f>
        <v>#REF!</v>
      </c>
      <c r="F393" s="8"/>
      <c r="G393" s="328" t="e">
        <f t="shared" si="8"/>
        <v>#REF!</v>
      </c>
      <c r="H393" s="771"/>
      <c r="I393" s="771" t="s">
        <v>305</v>
      </c>
      <c r="J393" s="771" t="s">
        <v>308</v>
      </c>
      <c r="K393" s="8"/>
      <c r="L393" s="8"/>
      <c r="M393" s="8"/>
    </row>
    <row r="394" spans="1:13" ht="26.45" hidden="1" outlineLevel="1">
      <c r="A394" s="771">
        <v>92</v>
      </c>
      <c r="B394" s="327" t="e">
        <f>'1. Detailed Budget POA'!#REF!</f>
        <v>#REF!</v>
      </c>
      <c r="C394" s="771" t="s">
        <v>303</v>
      </c>
      <c r="D394" s="771" t="s">
        <v>304</v>
      </c>
      <c r="E394" s="328" t="e">
        <f>'1. Detailed Budget POA'!#REF!</f>
        <v>#REF!</v>
      </c>
      <c r="F394" s="8"/>
      <c r="G394" s="328" t="e">
        <f t="shared" si="8"/>
        <v>#REF!</v>
      </c>
      <c r="H394" s="771"/>
      <c r="I394" s="771" t="s">
        <v>305</v>
      </c>
      <c r="J394" s="771" t="s">
        <v>308</v>
      </c>
      <c r="K394" s="8"/>
      <c r="L394" s="8"/>
      <c r="M394" s="8"/>
    </row>
    <row r="395" spans="1:13" ht="26.45" hidden="1" outlineLevel="1">
      <c r="A395" s="771">
        <v>93</v>
      </c>
      <c r="B395" s="327" t="e">
        <f>'1. Detailed Budget POA'!#REF!</f>
        <v>#REF!</v>
      </c>
      <c r="C395" s="771" t="s">
        <v>303</v>
      </c>
      <c r="D395" s="771" t="s">
        <v>304</v>
      </c>
      <c r="E395" s="328" t="e">
        <f>'1. Detailed Budget POA'!#REF!</f>
        <v>#REF!</v>
      </c>
      <c r="F395" s="8"/>
      <c r="G395" s="328" t="e">
        <f t="shared" si="8"/>
        <v>#REF!</v>
      </c>
      <c r="H395" s="771"/>
      <c r="I395" s="771" t="s">
        <v>305</v>
      </c>
      <c r="J395" s="771" t="s">
        <v>308</v>
      </c>
      <c r="K395" s="8"/>
      <c r="L395" s="8"/>
      <c r="M395" s="8"/>
    </row>
    <row r="396" spans="1:13" ht="26.45" hidden="1" outlineLevel="1">
      <c r="A396" s="771">
        <v>94</v>
      </c>
      <c r="B396" s="327" t="e">
        <f>'1. Detailed Budget POA'!#REF!</f>
        <v>#REF!</v>
      </c>
      <c r="C396" s="771" t="s">
        <v>303</v>
      </c>
      <c r="D396" s="771" t="s">
        <v>304</v>
      </c>
      <c r="E396" s="328" t="e">
        <f>'1. Detailed Budget POA'!#REF!</f>
        <v>#REF!</v>
      </c>
      <c r="F396" s="8"/>
      <c r="G396" s="328" t="e">
        <f t="shared" si="8"/>
        <v>#REF!</v>
      </c>
      <c r="H396" s="771"/>
      <c r="I396" s="771" t="s">
        <v>305</v>
      </c>
      <c r="J396" s="771" t="s">
        <v>308</v>
      </c>
      <c r="K396" s="8"/>
      <c r="L396" s="8"/>
      <c r="M396" s="8"/>
    </row>
    <row r="397" spans="1:13" ht="26.45" hidden="1" outlineLevel="1">
      <c r="A397" s="771">
        <v>95</v>
      </c>
      <c r="B397" s="327" t="e">
        <f>'1. Detailed Budget POA'!#REF!</f>
        <v>#REF!</v>
      </c>
      <c r="C397" s="771" t="s">
        <v>303</v>
      </c>
      <c r="D397" s="771" t="s">
        <v>304</v>
      </c>
      <c r="E397" s="328" t="e">
        <f>'1. Detailed Budget POA'!#REF!</f>
        <v>#REF!</v>
      </c>
      <c r="F397" s="8"/>
      <c r="G397" s="328" t="e">
        <f t="shared" si="8"/>
        <v>#REF!</v>
      </c>
      <c r="H397" s="771"/>
      <c r="I397" s="771" t="s">
        <v>305</v>
      </c>
      <c r="J397" s="771" t="s">
        <v>308</v>
      </c>
      <c r="K397" s="8"/>
      <c r="L397" s="8"/>
      <c r="M397" s="8"/>
    </row>
    <row r="398" spans="1:13" ht="26.45" hidden="1" outlineLevel="1">
      <c r="A398" s="771">
        <v>96</v>
      </c>
      <c r="B398" s="327" t="e">
        <f>'1. Detailed Budget POA'!#REF!</f>
        <v>#REF!</v>
      </c>
      <c r="C398" s="771" t="s">
        <v>303</v>
      </c>
      <c r="D398" s="771" t="s">
        <v>304</v>
      </c>
      <c r="E398" s="328" t="e">
        <f>'1. Detailed Budget POA'!#REF!</f>
        <v>#REF!</v>
      </c>
      <c r="F398" s="8"/>
      <c r="G398" s="328" t="e">
        <f t="shared" si="8"/>
        <v>#REF!</v>
      </c>
      <c r="H398" s="771"/>
      <c r="I398" s="771" t="s">
        <v>305</v>
      </c>
      <c r="J398" s="771" t="s">
        <v>308</v>
      </c>
      <c r="K398" s="8"/>
      <c r="L398" s="8"/>
      <c r="M398" s="8"/>
    </row>
    <row r="399" spans="1:13" ht="26.45" hidden="1" outlineLevel="1">
      <c r="A399" s="771">
        <v>97</v>
      </c>
      <c r="B399" s="327" t="e">
        <f>'1. Detailed Budget POA'!#REF!</f>
        <v>#REF!</v>
      </c>
      <c r="C399" s="771" t="s">
        <v>303</v>
      </c>
      <c r="D399" s="771" t="s">
        <v>304</v>
      </c>
      <c r="E399" s="328" t="e">
        <f>'1. Detailed Budget POA'!#REF!</f>
        <v>#REF!</v>
      </c>
      <c r="F399" s="8"/>
      <c r="G399" s="328" t="e">
        <f t="shared" si="8"/>
        <v>#REF!</v>
      </c>
      <c r="H399" s="771"/>
      <c r="I399" s="771" t="s">
        <v>305</v>
      </c>
      <c r="J399" s="771" t="s">
        <v>308</v>
      </c>
      <c r="K399" s="8"/>
      <c r="L399" s="8"/>
      <c r="M399" s="8"/>
    </row>
    <row r="400" spans="1:13" ht="26.45" hidden="1" outlineLevel="1">
      <c r="A400" s="771">
        <v>98</v>
      </c>
      <c r="B400" s="327">
        <f>'1. Detailed Budget POA'!W69</f>
        <v>0</v>
      </c>
      <c r="C400" s="771" t="s">
        <v>303</v>
      </c>
      <c r="D400" s="771" t="s">
        <v>304</v>
      </c>
      <c r="E400" s="328">
        <f>'1. Detailed Budget POA'!Z69</f>
        <v>0</v>
      </c>
      <c r="F400" s="8"/>
      <c r="G400" s="328">
        <f t="shared" si="8"/>
        <v>0</v>
      </c>
      <c r="H400" s="771"/>
      <c r="I400" s="771" t="s">
        <v>305</v>
      </c>
      <c r="J400" s="771" t="s">
        <v>308</v>
      </c>
      <c r="K400" s="8"/>
      <c r="L400" s="8"/>
      <c r="M400" s="8"/>
    </row>
    <row r="401" spans="1:13" ht="26.45" hidden="1" outlineLevel="1">
      <c r="A401" s="771">
        <v>99</v>
      </c>
      <c r="B401" s="327">
        <f>'1. Detailed Budget POA'!W70</f>
        <v>0</v>
      </c>
      <c r="C401" s="771" t="s">
        <v>303</v>
      </c>
      <c r="D401" s="771" t="s">
        <v>304</v>
      </c>
      <c r="E401" s="328">
        <f>'1. Detailed Budget POA'!Z70</f>
        <v>0</v>
      </c>
      <c r="F401" s="8"/>
      <c r="G401" s="328">
        <f t="shared" si="8"/>
        <v>0</v>
      </c>
      <c r="H401" s="771"/>
      <c r="I401" s="771" t="s">
        <v>305</v>
      </c>
      <c r="J401" s="771" t="s">
        <v>308</v>
      </c>
      <c r="K401" s="8"/>
      <c r="L401" s="8"/>
      <c r="M401" s="8"/>
    </row>
    <row r="402" spans="1:13" ht="26.45" hidden="1" outlineLevel="1">
      <c r="A402" s="771">
        <v>100</v>
      </c>
      <c r="B402" s="327" t="e">
        <f>'1. Detailed Budget POA'!#REF!</f>
        <v>#REF!</v>
      </c>
      <c r="C402" s="771" t="s">
        <v>303</v>
      </c>
      <c r="D402" s="771" t="s">
        <v>304</v>
      </c>
      <c r="E402" s="328" t="e">
        <f>'1. Detailed Budget POA'!#REF!</f>
        <v>#REF!</v>
      </c>
      <c r="F402" s="8"/>
      <c r="G402" s="328" t="e">
        <f t="shared" si="8"/>
        <v>#REF!</v>
      </c>
      <c r="H402" s="771"/>
      <c r="I402" s="771" t="s">
        <v>305</v>
      </c>
      <c r="J402" s="771" t="s">
        <v>308</v>
      </c>
      <c r="K402" s="8"/>
      <c r="L402" s="8"/>
      <c r="M402" s="8"/>
    </row>
    <row r="403" spans="1:13" ht="26.45" hidden="1" outlineLevel="1">
      <c r="A403" s="771">
        <v>101</v>
      </c>
      <c r="B403" s="327" t="e">
        <f>'1. Detailed Budget POA'!#REF!</f>
        <v>#REF!</v>
      </c>
      <c r="C403" s="771" t="s">
        <v>303</v>
      </c>
      <c r="D403" s="771" t="s">
        <v>304</v>
      </c>
      <c r="E403" s="328" t="e">
        <f>'1. Detailed Budget POA'!#REF!</f>
        <v>#REF!</v>
      </c>
      <c r="F403" s="8"/>
      <c r="G403" s="328" t="e">
        <f t="shared" si="8"/>
        <v>#REF!</v>
      </c>
      <c r="H403" s="771"/>
      <c r="I403" s="771" t="s">
        <v>305</v>
      </c>
      <c r="J403" s="771" t="s">
        <v>308</v>
      </c>
      <c r="K403" s="8"/>
      <c r="L403" s="8"/>
      <c r="M403" s="8"/>
    </row>
    <row r="404" spans="1:13" ht="26.45" hidden="1" outlineLevel="1">
      <c r="A404" s="771">
        <v>102</v>
      </c>
      <c r="B404" s="327" t="e">
        <f>'1. Detailed Budget POA'!#REF!</f>
        <v>#REF!</v>
      </c>
      <c r="C404" s="771" t="s">
        <v>303</v>
      </c>
      <c r="D404" s="771" t="s">
        <v>304</v>
      </c>
      <c r="E404" s="328" t="e">
        <f>'1. Detailed Budget POA'!#REF!</f>
        <v>#REF!</v>
      </c>
      <c r="F404" s="8"/>
      <c r="G404" s="328" t="e">
        <f t="shared" si="8"/>
        <v>#REF!</v>
      </c>
      <c r="H404" s="771"/>
      <c r="I404" s="771" t="s">
        <v>305</v>
      </c>
      <c r="J404" s="771" t="s">
        <v>308</v>
      </c>
      <c r="K404" s="8"/>
      <c r="L404" s="8"/>
      <c r="M404" s="8"/>
    </row>
    <row r="405" spans="1:13" ht="26.45" hidden="1" outlineLevel="1">
      <c r="A405" s="771">
        <v>103</v>
      </c>
      <c r="B405" s="327" t="e">
        <f>'1. Detailed Budget POA'!#REF!</f>
        <v>#REF!</v>
      </c>
      <c r="C405" s="771" t="s">
        <v>303</v>
      </c>
      <c r="D405" s="771" t="s">
        <v>304</v>
      </c>
      <c r="E405" s="328" t="e">
        <f>'1. Detailed Budget POA'!#REF!</f>
        <v>#REF!</v>
      </c>
      <c r="F405" s="8"/>
      <c r="G405" s="328" t="e">
        <f t="shared" si="8"/>
        <v>#REF!</v>
      </c>
      <c r="H405" s="771"/>
      <c r="I405" s="771" t="s">
        <v>305</v>
      </c>
      <c r="J405" s="771" t="s">
        <v>308</v>
      </c>
      <c r="K405" s="8"/>
      <c r="L405" s="8"/>
      <c r="M405" s="8"/>
    </row>
    <row r="406" spans="1:13" ht="26.45" hidden="1" outlineLevel="1">
      <c r="A406" s="771">
        <v>104</v>
      </c>
      <c r="B406" s="327" t="e">
        <f>'1. Detailed Budget POA'!#REF!</f>
        <v>#REF!</v>
      </c>
      <c r="C406" s="771" t="s">
        <v>303</v>
      </c>
      <c r="D406" s="771" t="s">
        <v>304</v>
      </c>
      <c r="E406" s="328" t="e">
        <f>'1. Detailed Budget POA'!#REF!</f>
        <v>#REF!</v>
      </c>
      <c r="F406" s="8"/>
      <c r="G406" s="328" t="e">
        <f t="shared" si="8"/>
        <v>#REF!</v>
      </c>
      <c r="H406" s="771"/>
      <c r="I406" s="771" t="s">
        <v>305</v>
      </c>
      <c r="J406" s="771" t="s">
        <v>308</v>
      </c>
      <c r="K406" s="8"/>
      <c r="L406" s="8"/>
      <c r="M406" s="8"/>
    </row>
    <row r="407" spans="1:13" ht="26.45" hidden="1" outlineLevel="1">
      <c r="A407" s="771">
        <v>105</v>
      </c>
      <c r="B407" s="327" t="e">
        <f>'1. Detailed Budget POA'!#REF!</f>
        <v>#REF!</v>
      </c>
      <c r="C407" s="771" t="s">
        <v>303</v>
      </c>
      <c r="D407" s="771" t="s">
        <v>304</v>
      </c>
      <c r="E407" s="328" t="e">
        <f>'1. Detailed Budget POA'!#REF!</f>
        <v>#REF!</v>
      </c>
      <c r="F407" s="8"/>
      <c r="G407" s="328" t="e">
        <f t="shared" si="8"/>
        <v>#REF!</v>
      </c>
      <c r="H407" s="771"/>
      <c r="I407" s="771" t="s">
        <v>305</v>
      </c>
      <c r="J407" s="771" t="s">
        <v>308</v>
      </c>
      <c r="K407" s="8"/>
      <c r="L407" s="8"/>
      <c r="M407" s="8"/>
    </row>
    <row r="408" spans="1:13" ht="26.45" hidden="1" outlineLevel="1">
      <c r="A408" s="771">
        <v>106</v>
      </c>
      <c r="B408" s="327" t="e">
        <f>'1. Detailed Budget POA'!#REF!</f>
        <v>#REF!</v>
      </c>
      <c r="C408" s="771" t="s">
        <v>303</v>
      </c>
      <c r="D408" s="771" t="s">
        <v>304</v>
      </c>
      <c r="E408" s="328" t="e">
        <f>'1. Detailed Budget POA'!#REF!</f>
        <v>#REF!</v>
      </c>
      <c r="F408" s="8"/>
      <c r="G408" s="328" t="e">
        <f t="shared" si="8"/>
        <v>#REF!</v>
      </c>
      <c r="H408" s="771"/>
      <c r="I408" s="771" t="s">
        <v>305</v>
      </c>
      <c r="J408" s="771" t="s">
        <v>308</v>
      </c>
      <c r="K408" s="8"/>
      <c r="L408" s="8"/>
      <c r="M408" s="8"/>
    </row>
    <row r="409" spans="1:13" ht="26.45" hidden="1" outlineLevel="1">
      <c r="A409" s="771">
        <v>107</v>
      </c>
      <c r="B409" s="327" t="e">
        <f>'1. Detailed Budget POA'!#REF!</f>
        <v>#REF!</v>
      </c>
      <c r="C409" s="771" t="s">
        <v>303</v>
      </c>
      <c r="D409" s="771" t="s">
        <v>304</v>
      </c>
      <c r="E409" s="328" t="e">
        <f>'1. Detailed Budget POA'!#REF!</f>
        <v>#REF!</v>
      </c>
      <c r="F409" s="8"/>
      <c r="G409" s="328" t="e">
        <f t="shared" si="8"/>
        <v>#REF!</v>
      </c>
      <c r="H409" s="771"/>
      <c r="I409" s="771" t="s">
        <v>305</v>
      </c>
      <c r="J409" s="771" t="s">
        <v>308</v>
      </c>
      <c r="K409" s="8"/>
      <c r="L409" s="8"/>
      <c r="M409" s="8"/>
    </row>
    <row r="410" spans="1:13" ht="26.45" hidden="1" outlineLevel="1">
      <c r="A410" s="771">
        <v>108</v>
      </c>
      <c r="B410" s="327" t="e">
        <f>'1. Detailed Budget POA'!#REF!</f>
        <v>#REF!</v>
      </c>
      <c r="C410" s="771" t="s">
        <v>303</v>
      </c>
      <c r="D410" s="771" t="s">
        <v>304</v>
      </c>
      <c r="E410" s="328" t="e">
        <f>'1. Detailed Budget POA'!#REF!</f>
        <v>#REF!</v>
      </c>
      <c r="F410" s="8"/>
      <c r="G410" s="328" t="e">
        <f t="shared" si="8"/>
        <v>#REF!</v>
      </c>
      <c r="H410" s="771"/>
      <c r="I410" s="771" t="s">
        <v>305</v>
      </c>
      <c r="J410" s="771" t="s">
        <v>308</v>
      </c>
      <c r="K410" s="8"/>
      <c r="L410" s="8"/>
      <c r="M410" s="8"/>
    </row>
    <row r="411" spans="1:13" ht="26.45" hidden="1" outlineLevel="1">
      <c r="A411" s="771">
        <v>109</v>
      </c>
      <c r="B411" s="327" t="e">
        <f>'1. Detailed Budget POA'!#REF!</f>
        <v>#REF!</v>
      </c>
      <c r="C411" s="771" t="s">
        <v>303</v>
      </c>
      <c r="D411" s="771" t="s">
        <v>304</v>
      </c>
      <c r="E411" s="328" t="e">
        <f>'1. Detailed Budget POA'!#REF!</f>
        <v>#REF!</v>
      </c>
      <c r="F411" s="8"/>
      <c r="G411" s="328" t="e">
        <f t="shared" si="8"/>
        <v>#REF!</v>
      </c>
      <c r="H411" s="771"/>
      <c r="I411" s="771" t="s">
        <v>305</v>
      </c>
      <c r="J411" s="771" t="s">
        <v>308</v>
      </c>
      <c r="K411" s="8"/>
      <c r="L411" s="8"/>
      <c r="M411" s="8"/>
    </row>
    <row r="412" spans="1:13" ht="26.45" hidden="1" outlineLevel="1">
      <c r="A412" s="771">
        <v>110</v>
      </c>
      <c r="B412" s="327" t="e">
        <f>'1. Detailed Budget POA'!#REF!</f>
        <v>#REF!</v>
      </c>
      <c r="C412" s="771" t="s">
        <v>303</v>
      </c>
      <c r="D412" s="771" t="s">
        <v>304</v>
      </c>
      <c r="E412" s="328" t="e">
        <f>'1. Detailed Budget POA'!#REF!</f>
        <v>#REF!</v>
      </c>
      <c r="F412" s="8"/>
      <c r="G412" s="328" t="e">
        <f t="shared" si="8"/>
        <v>#REF!</v>
      </c>
      <c r="H412" s="771"/>
      <c r="I412" s="771" t="s">
        <v>305</v>
      </c>
      <c r="J412" s="771" t="s">
        <v>308</v>
      </c>
      <c r="K412" s="8"/>
      <c r="L412" s="8"/>
      <c r="M412" s="8"/>
    </row>
    <row r="413" spans="1:13" ht="26.45" hidden="1" outlineLevel="1">
      <c r="A413" s="771">
        <v>111</v>
      </c>
      <c r="B413" s="327" t="e">
        <f>'1. Detailed Budget POA'!#REF!</f>
        <v>#REF!</v>
      </c>
      <c r="C413" s="771" t="s">
        <v>303</v>
      </c>
      <c r="D413" s="771" t="s">
        <v>304</v>
      </c>
      <c r="E413" s="328" t="e">
        <f>'1. Detailed Budget POA'!#REF!</f>
        <v>#REF!</v>
      </c>
      <c r="F413" s="8"/>
      <c r="G413" s="328" t="e">
        <f t="shared" si="8"/>
        <v>#REF!</v>
      </c>
      <c r="H413" s="771"/>
      <c r="I413" s="771" t="s">
        <v>305</v>
      </c>
      <c r="J413" s="771" t="s">
        <v>308</v>
      </c>
      <c r="K413" s="8"/>
      <c r="L413" s="8"/>
      <c r="M413" s="8"/>
    </row>
    <row r="414" spans="1:13" ht="26.45" hidden="1" outlineLevel="1">
      <c r="A414" s="771">
        <v>112</v>
      </c>
      <c r="B414" s="327" t="e">
        <f>'1. Detailed Budget POA'!#REF!</f>
        <v>#REF!</v>
      </c>
      <c r="C414" s="771" t="s">
        <v>303</v>
      </c>
      <c r="D414" s="771" t="s">
        <v>304</v>
      </c>
      <c r="E414" s="328" t="e">
        <f>'1. Detailed Budget POA'!#REF!</f>
        <v>#REF!</v>
      </c>
      <c r="F414" s="8"/>
      <c r="G414" s="328" t="e">
        <f t="shared" si="8"/>
        <v>#REF!</v>
      </c>
      <c r="H414" s="771"/>
      <c r="I414" s="771" t="s">
        <v>305</v>
      </c>
      <c r="J414" s="771" t="s">
        <v>308</v>
      </c>
      <c r="K414" s="8"/>
      <c r="L414" s="8"/>
      <c r="M414" s="8"/>
    </row>
    <row r="415" spans="1:13" ht="26.45" hidden="1" outlineLevel="1">
      <c r="A415" s="771">
        <v>113</v>
      </c>
      <c r="B415" s="327" t="e">
        <f>'1. Detailed Budget POA'!#REF!</f>
        <v>#REF!</v>
      </c>
      <c r="C415" s="771" t="s">
        <v>303</v>
      </c>
      <c r="D415" s="771" t="s">
        <v>304</v>
      </c>
      <c r="E415" s="328" t="e">
        <f>'1. Detailed Budget POA'!#REF!</f>
        <v>#REF!</v>
      </c>
      <c r="F415" s="8"/>
      <c r="G415" s="328" t="e">
        <f t="shared" si="8"/>
        <v>#REF!</v>
      </c>
      <c r="H415" s="771"/>
      <c r="I415" s="771" t="s">
        <v>305</v>
      </c>
      <c r="J415" s="771" t="s">
        <v>308</v>
      </c>
      <c r="K415" s="8"/>
      <c r="L415" s="8"/>
      <c r="M415" s="8"/>
    </row>
    <row r="416" spans="1:13" ht="26.45" hidden="1" outlineLevel="1">
      <c r="A416" s="771">
        <v>114</v>
      </c>
      <c r="B416" s="327" t="e">
        <f>'1. Detailed Budget POA'!#REF!</f>
        <v>#REF!</v>
      </c>
      <c r="C416" s="771" t="s">
        <v>303</v>
      </c>
      <c r="D416" s="771" t="s">
        <v>304</v>
      </c>
      <c r="E416" s="328" t="e">
        <f>'1. Detailed Budget POA'!#REF!</f>
        <v>#REF!</v>
      </c>
      <c r="F416" s="8"/>
      <c r="G416" s="328" t="e">
        <f t="shared" si="8"/>
        <v>#REF!</v>
      </c>
      <c r="H416" s="771"/>
      <c r="I416" s="771" t="s">
        <v>305</v>
      </c>
      <c r="J416" s="771" t="s">
        <v>308</v>
      </c>
      <c r="K416" s="8"/>
      <c r="L416" s="8"/>
      <c r="M416" s="8"/>
    </row>
    <row r="417" spans="1:13" ht="26.45" hidden="1" outlineLevel="1">
      <c r="A417" s="771">
        <v>115</v>
      </c>
      <c r="B417" s="327" t="e">
        <f>'1. Detailed Budget POA'!#REF!</f>
        <v>#REF!</v>
      </c>
      <c r="C417" s="771" t="s">
        <v>303</v>
      </c>
      <c r="D417" s="771" t="s">
        <v>304</v>
      </c>
      <c r="E417" s="328" t="e">
        <f>'1. Detailed Budget POA'!#REF!</f>
        <v>#REF!</v>
      </c>
      <c r="F417" s="8"/>
      <c r="G417" s="328" t="e">
        <f t="shared" si="8"/>
        <v>#REF!</v>
      </c>
      <c r="H417" s="771"/>
      <c r="I417" s="771" t="s">
        <v>305</v>
      </c>
      <c r="J417" s="771" t="s">
        <v>308</v>
      </c>
      <c r="K417" s="8"/>
      <c r="L417" s="8"/>
      <c r="M417" s="8"/>
    </row>
    <row r="418" spans="1:13" ht="26.45" hidden="1" outlineLevel="1">
      <c r="A418" s="771">
        <v>116</v>
      </c>
      <c r="B418" s="327" t="e">
        <f>'1. Detailed Budget POA'!#REF!</f>
        <v>#REF!</v>
      </c>
      <c r="C418" s="771" t="s">
        <v>303</v>
      </c>
      <c r="D418" s="771" t="s">
        <v>304</v>
      </c>
      <c r="E418" s="328" t="e">
        <f>'1. Detailed Budget POA'!#REF!</f>
        <v>#REF!</v>
      </c>
      <c r="F418" s="8"/>
      <c r="G418" s="328" t="e">
        <f t="shared" si="8"/>
        <v>#REF!</v>
      </c>
      <c r="H418" s="771"/>
      <c r="I418" s="771" t="s">
        <v>305</v>
      </c>
      <c r="J418" s="771" t="s">
        <v>308</v>
      </c>
      <c r="K418" s="8"/>
      <c r="L418" s="8"/>
      <c r="M418" s="8"/>
    </row>
    <row r="419" spans="1:13" ht="26.45" hidden="1" outlineLevel="1">
      <c r="A419" s="771">
        <v>117</v>
      </c>
      <c r="B419" s="327" t="e">
        <f>'1. Detailed Budget POA'!#REF!</f>
        <v>#REF!</v>
      </c>
      <c r="C419" s="771" t="s">
        <v>303</v>
      </c>
      <c r="D419" s="771" t="s">
        <v>304</v>
      </c>
      <c r="E419" s="328" t="e">
        <f>'1. Detailed Budget POA'!#REF!</f>
        <v>#REF!</v>
      </c>
      <c r="F419" s="8"/>
      <c r="G419" s="328" t="e">
        <f t="shared" si="8"/>
        <v>#REF!</v>
      </c>
      <c r="H419" s="771"/>
      <c r="I419" s="771" t="s">
        <v>305</v>
      </c>
      <c r="J419" s="771" t="s">
        <v>308</v>
      </c>
      <c r="K419" s="8"/>
      <c r="L419" s="8"/>
      <c r="M419" s="8"/>
    </row>
    <row r="420" spans="1:13" ht="26.45" hidden="1" outlineLevel="1">
      <c r="A420" s="771">
        <v>118</v>
      </c>
      <c r="B420" s="327" t="e">
        <f>'1. Detailed Budget POA'!#REF!</f>
        <v>#REF!</v>
      </c>
      <c r="C420" s="771" t="s">
        <v>303</v>
      </c>
      <c r="D420" s="771" t="s">
        <v>304</v>
      </c>
      <c r="E420" s="328" t="e">
        <f>'1. Detailed Budget POA'!#REF!</f>
        <v>#REF!</v>
      </c>
      <c r="F420" s="8"/>
      <c r="G420" s="328" t="e">
        <f t="shared" si="8"/>
        <v>#REF!</v>
      </c>
      <c r="H420" s="771"/>
      <c r="I420" s="771" t="s">
        <v>305</v>
      </c>
      <c r="J420" s="771" t="s">
        <v>308</v>
      </c>
      <c r="K420" s="8"/>
      <c r="L420" s="8"/>
      <c r="M420" s="8"/>
    </row>
    <row r="421" spans="1:13" ht="26.45" hidden="1" outlineLevel="1">
      <c r="A421" s="771">
        <v>119</v>
      </c>
      <c r="B421" s="327" t="e">
        <f>'1. Detailed Budget POA'!#REF!</f>
        <v>#REF!</v>
      </c>
      <c r="C421" s="771" t="s">
        <v>303</v>
      </c>
      <c r="D421" s="771" t="s">
        <v>304</v>
      </c>
      <c r="E421" s="328" t="e">
        <f>'1. Detailed Budget POA'!#REF!</f>
        <v>#REF!</v>
      </c>
      <c r="F421" s="8"/>
      <c r="G421" s="328" t="e">
        <f t="shared" si="8"/>
        <v>#REF!</v>
      </c>
      <c r="H421" s="771"/>
      <c r="I421" s="771" t="s">
        <v>305</v>
      </c>
      <c r="J421" s="771" t="s">
        <v>308</v>
      </c>
      <c r="K421" s="8"/>
      <c r="L421" s="8"/>
      <c r="M421" s="8"/>
    </row>
    <row r="422" spans="1:13" ht="26.45" hidden="1" outlineLevel="1">
      <c r="A422" s="771">
        <v>120</v>
      </c>
      <c r="B422" s="327" t="e">
        <f>'1. Detailed Budget POA'!#REF!</f>
        <v>#REF!</v>
      </c>
      <c r="C422" s="771" t="s">
        <v>303</v>
      </c>
      <c r="D422" s="771" t="s">
        <v>304</v>
      </c>
      <c r="E422" s="328" t="e">
        <f>'1. Detailed Budget POA'!#REF!</f>
        <v>#REF!</v>
      </c>
      <c r="F422" s="8"/>
      <c r="G422" s="328" t="e">
        <f t="shared" si="8"/>
        <v>#REF!</v>
      </c>
      <c r="H422" s="771"/>
      <c r="I422" s="771" t="s">
        <v>305</v>
      </c>
      <c r="J422" s="771" t="s">
        <v>308</v>
      </c>
      <c r="K422" s="8"/>
      <c r="L422" s="8"/>
      <c r="M422" s="8"/>
    </row>
    <row r="423" spans="1:13" ht="26.45" hidden="1" outlineLevel="1">
      <c r="A423" s="771">
        <v>122</v>
      </c>
      <c r="B423" s="327" t="e">
        <f>'1. Detailed Budget POA'!#REF!</f>
        <v>#REF!</v>
      </c>
      <c r="C423" s="771" t="s">
        <v>303</v>
      </c>
      <c r="D423" s="771" t="s">
        <v>304</v>
      </c>
      <c r="E423" s="328" t="e">
        <f>'1. Detailed Budget POA'!#REF!</f>
        <v>#REF!</v>
      </c>
      <c r="F423" s="8"/>
      <c r="G423" s="328" t="e">
        <f t="shared" si="8"/>
        <v>#REF!</v>
      </c>
      <c r="H423" s="771"/>
      <c r="I423" s="771" t="s">
        <v>305</v>
      </c>
      <c r="J423" s="771" t="s">
        <v>308</v>
      </c>
      <c r="K423" s="8"/>
      <c r="L423" s="8"/>
      <c r="M423" s="8"/>
    </row>
    <row r="424" spans="1:13" ht="26.45" hidden="1" outlineLevel="1">
      <c r="A424" s="771">
        <v>128</v>
      </c>
      <c r="B424" s="327" t="e">
        <f>'1. Detailed Budget POA'!#REF!</f>
        <v>#REF!</v>
      </c>
      <c r="C424" s="771" t="s">
        <v>303</v>
      </c>
      <c r="D424" s="771" t="s">
        <v>304</v>
      </c>
      <c r="E424" s="328" t="e">
        <f>'1. Detailed Budget POA'!#REF!</f>
        <v>#REF!</v>
      </c>
      <c r="F424" s="8"/>
      <c r="G424" s="328" t="e">
        <f t="shared" si="8"/>
        <v>#REF!</v>
      </c>
      <c r="H424" s="771"/>
      <c r="I424" s="771" t="s">
        <v>305</v>
      </c>
      <c r="J424" s="771" t="s">
        <v>308</v>
      </c>
      <c r="K424" s="8"/>
      <c r="L424" s="8"/>
      <c r="M424" s="8"/>
    </row>
    <row r="425" spans="1:13" ht="26.45" hidden="1" outlineLevel="1">
      <c r="A425" s="771">
        <v>129</v>
      </c>
      <c r="B425" s="327" t="e">
        <f>'1. Detailed Budget POA'!#REF!</f>
        <v>#REF!</v>
      </c>
      <c r="C425" s="771" t="s">
        <v>303</v>
      </c>
      <c r="D425" s="771" t="s">
        <v>304</v>
      </c>
      <c r="E425" s="328" t="e">
        <f>'1. Detailed Budget POA'!#REF!</f>
        <v>#REF!</v>
      </c>
      <c r="F425" s="8"/>
      <c r="G425" s="328" t="e">
        <f t="shared" si="8"/>
        <v>#REF!</v>
      </c>
      <c r="H425" s="771"/>
      <c r="I425" s="771" t="s">
        <v>305</v>
      </c>
      <c r="J425" s="771" t="s">
        <v>308</v>
      </c>
      <c r="K425" s="8"/>
      <c r="L425" s="8"/>
      <c r="M425" s="8"/>
    </row>
    <row r="426" spans="1:13" ht="26.45" hidden="1" outlineLevel="1">
      <c r="A426" s="771">
        <v>140</v>
      </c>
      <c r="B426" s="327" t="e">
        <f>'1. Detailed Budget POA'!#REF!</f>
        <v>#REF!</v>
      </c>
      <c r="C426" s="771" t="s">
        <v>303</v>
      </c>
      <c r="D426" s="771" t="s">
        <v>304</v>
      </c>
      <c r="E426" s="328" t="e">
        <f>'1. Detailed Budget POA'!#REF!</f>
        <v>#REF!</v>
      </c>
      <c r="F426" s="8"/>
      <c r="G426" s="328" t="e">
        <f>SUM(E426:F426)</f>
        <v>#REF!</v>
      </c>
      <c r="H426" s="771"/>
      <c r="I426" s="771" t="s">
        <v>305</v>
      </c>
      <c r="J426" s="771" t="s">
        <v>308</v>
      </c>
      <c r="K426" s="8"/>
      <c r="L426" s="8"/>
      <c r="M426" s="8"/>
    </row>
    <row r="427" spans="1:13" ht="26.45" hidden="1" outlineLevel="1">
      <c r="A427" s="771">
        <v>141</v>
      </c>
      <c r="B427" s="327" t="e">
        <f>'1. Detailed Budget POA'!#REF!</f>
        <v>#REF!</v>
      </c>
      <c r="C427" s="771" t="s">
        <v>303</v>
      </c>
      <c r="D427" s="771" t="s">
        <v>304</v>
      </c>
      <c r="E427" s="328" t="e">
        <f>'1. Detailed Budget POA'!#REF!</f>
        <v>#REF!</v>
      </c>
      <c r="F427" s="8"/>
      <c r="G427" s="328" t="e">
        <f>SUM(E427:F427)</f>
        <v>#REF!</v>
      </c>
      <c r="H427" s="771"/>
      <c r="I427" s="771" t="s">
        <v>305</v>
      </c>
      <c r="J427" s="771" t="s">
        <v>308</v>
      </c>
      <c r="K427" s="8"/>
      <c r="L427" s="8"/>
      <c r="M427" s="8"/>
    </row>
    <row r="428" spans="1:13" collapsed="1">
      <c r="A428" s="23"/>
      <c r="B428" s="23"/>
      <c r="C428" s="52"/>
      <c r="D428" s="52"/>
      <c r="E428" s="23"/>
      <c r="F428" s="23"/>
      <c r="G428" s="23"/>
      <c r="H428" s="23"/>
      <c r="I428" s="23"/>
      <c r="J428" s="23"/>
      <c r="K428" s="23"/>
      <c r="L428" s="23"/>
      <c r="M428" s="23"/>
    </row>
    <row r="429" spans="1:13" ht="24" customHeight="1">
      <c r="A429" s="48"/>
      <c r="B429" s="1065" t="s">
        <v>301</v>
      </c>
      <c r="C429" s="1065"/>
      <c r="D429" s="1065"/>
      <c r="E429" s="1066" t="e">
        <f>SUM(E330:E422)</f>
        <v>#REF!</v>
      </c>
      <c r="F429" s="1066">
        <f>SUM(F330:F422)</f>
        <v>0</v>
      </c>
      <c r="G429" s="1066" t="e">
        <f>SUM(G330:G422)</f>
        <v>#REF!</v>
      </c>
      <c r="H429" s="48"/>
      <c r="I429" s="48"/>
      <c r="J429" s="48"/>
      <c r="K429" s="48"/>
      <c r="L429" s="48"/>
      <c r="M429" s="23"/>
    </row>
    <row r="430" spans="1:13">
      <c r="A430" s="23"/>
      <c r="B430" s="23"/>
      <c r="C430" s="52"/>
      <c r="D430" s="52"/>
      <c r="E430" s="23"/>
      <c r="F430" s="23"/>
      <c r="G430" s="23"/>
      <c r="H430" s="23"/>
      <c r="I430" s="23"/>
      <c r="J430" s="23"/>
      <c r="K430" s="23"/>
      <c r="L430" s="23"/>
      <c r="M430" s="23"/>
    </row>
    <row r="431" spans="1:13" ht="24" customHeight="1">
      <c r="A431" s="23"/>
      <c r="B431" s="1065" t="s">
        <v>311</v>
      </c>
      <c r="C431" s="1065"/>
      <c r="D431" s="1065"/>
      <c r="E431" s="1066" t="e">
        <f>E9+E115+E220+E327+E429</f>
        <v>#REF!</v>
      </c>
      <c r="F431" s="1066">
        <f>F9+F115+F220+F327+F429</f>
        <v>0</v>
      </c>
      <c r="G431" s="1066" t="e">
        <f>G9+G115+G220+G327+G429</f>
        <v>#REF!</v>
      </c>
      <c r="H431" s="23"/>
      <c r="I431" s="23"/>
      <c r="J431" s="23"/>
      <c r="K431" s="23"/>
      <c r="L431" s="23"/>
      <c r="M431" s="23"/>
    </row>
    <row r="432" spans="1:13">
      <c r="A432" s="23"/>
      <c r="B432" s="23"/>
      <c r="C432" s="52"/>
      <c r="D432" s="52"/>
      <c r="E432" s="23"/>
      <c r="F432" s="23"/>
      <c r="G432" s="23"/>
      <c r="H432" s="23"/>
      <c r="I432" s="23"/>
      <c r="J432" s="23"/>
      <c r="K432" s="23"/>
      <c r="L432" s="23"/>
      <c r="M432" s="23"/>
    </row>
    <row r="433" spans="1:13">
      <c r="A433" s="23"/>
      <c r="B433" s="23"/>
      <c r="C433" s="52"/>
      <c r="D433" s="52"/>
      <c r="E433" s="23"/>
      <c r="F433" s="23"/>
      <c r="G433" s="23"/>
      <c r="H433" s="23"/>
      <c r="I433" s="23"/>
      <c r="J433" s="23"/>
      <c r="K433" s="23"/>
      <c r="L433" s="23"/>
      <c r="M433" s="23"/>
    </row>
  </sheetData>
  <mergeCells count="14">
    <mergeCell ref="A117:M117"/>
    <mergeCell ref="B429:D429"/>
    <mergeCell ref="B431:D431"/>
    <mergeCell ref="B220:D220"/>
    <mergeCell ref="A222:M222"/>
    <mergeCell ref="B327:D327"/>
    <mergeCell ref="A329:M329"/>
    <mergeCell ref="A11:M11"/>
    <mergeCell ref="B115:D115"/>
    <mergeCell ref="B9:D9"/>
    <mergeCell ref="A1:M1"/>
    <mergeCell ref="A2:M2"/>
    <mergeCell ref="K3:L3"/>
    <mergeCell ref="A5:M5"/>
  </mergeCells>
  <phoneticPr fontId="2" type="noConversion"/>
  <pageMargins left="0.75" right="0.75" top="1" bottom="1" header="0" footer="0"/>
  <pageSetup paperSize="9" scale="62" fitToHeight="0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95EFEBEF05FDC4EAE1A1A396C02431E" ma:contentTypeVersion="2459" ma:contentTypeDescription="A content type to manage public (operations) IDB documents" ma:contentTypeScope="" ma:versionID="714fa89805f186f77d6aed21f82c22c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Mariana Canillas</Other_x0020_Author>
    <Migration_x0020_Info xmlns="cdc7663a-08f0-4737-9e8c-148ce897a09c" xsi:nil="true"/>
    <Approval_x0020_Number xmlns="cdc7663a-08f0-4737-9e8c-148ce897a09c">4829/OC-PE;</Approval_x0020_Number>
    <Phase xmlns="cdc7663a-08f0-4737-9e8c-148ce897a09c">ACTIVE</Phase>
    <Document_x0020_Author xmlns="cdc7663a-08f0-4737-9e8c-148ce897a09c">Larios, Jose I.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EXPENDITURE MANAGEMENT</TermName>
          <TermId xmlns="http://schemas.microsoft.com/office/infopath/2007/PartnerControls">b56c0fa9-229d-468b-ab4e-704b161960d9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31</Value>
      <Value>44</Value>
      <Value>1</Value>
      <Value>322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PE-L1247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EZSHARE-910907750-20</_dlc_DocId>
    <_dlc_DocIdUrl xmlns="cdc7663a-08f0-4737-9e8c-148ce897a09c">
      <Url>https://idbg.sharepoint.com/teams/EZ-PE-LON/PE-L1247/_layouts/15/DocIdRedir.aspx?ID=EZSHARE-910907750-20</Url>
      <Description>EZSHARE-910907750-20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7.xml><?xml version="1.0" encoding="utf-8"?>
<LongProperties xmlns="http://schemas.microsoft.com/office/2006/metadata/longProperties">
  <LongProp xmlns="" name="TaxCatchAll"><![CDATA[34;#ORC|c028a4b2-ad8b-4cf4-9cac-a2ae6a778e23;#4;#Project Administration|751f71fd-1433-4702-a2db-ff12a4e45594;#31;#Peru|c988f60b-81f1-4c24-8da7-d5473741c5b0;#44;#REFORM / MODERNIZATION OF THE STATE|c8fda4a7-691a-4c65-b227-9825197b5cd2;#322;#PUBLIC EXPENDITURE MANAGEMENT|b56c0fa9-229d-468b-ab4e-704b161960d9]]></LongProp>
</LongProperties>
</file>

<file path=customXml/itemProps1.xml><?xml version="1.0" encoding="utf-8"?>
<ds:datastoreItem xmlns:ds="http://schemas.openxmlformats.org/officeDocument/2006/customXml" ds:itemID="{D0266311-1371-42CE-BE26-F25E0E712F3A}"/>
</file>

<file path=customXml/itemProps2.xml><?xml version="1.0" encoding="utf-8"?>
<ds:datastoreItem xmlns:ds="http://schemas.openxmlformats.org/officeDocument/2006/customXml" ds:itemID="{E3A6B0FA-4207-414A-8175-97F8D5450B1D}"/>
</file>

<file path=customXml/itemProps3.xml><?xml version="1.0" encoding="utf-8"?>
<ds:datastoreItem xmlns:ds="http://schemas.openxmlformats.org/officeDocument/2006/customXml" ds:itemID="{58234C86-E4CD-4B4A-9BD0-1F1F36657ECB}"/>
</file>

<file path=customXml/itemProps4.xml><?xml version="1.0" encoding="utf-8"?>
<ds:datastoreItem xmlns:ds="http://schemas.openxmlformats.org/officeDocument/2006/customXml" ds:itemID="{741C325B-199F-462A-9643-AF3D74B8180C}"/>
</file>

<file path=customXml/itemProps5.xml><?xml version="1.0" encoding="utf-8"?>
<ds:datastoreItem xmlns:ds="http://schemas.openxmlformats.org/officeDocument/2006/customXml" ds:itemID="{E84A0908-89E5-47F1-9F01-2EDA3FD45B94}"/>
</file>

<file path=customXml/itemProps6.xml><?xml version="1.0" encoding="utf-8"?>
<ds:datastoreItem xmlns:ds="http://schemas.openxmlformats.org/officeDocument/2006/customXml" ds:itemID="{50C59914-6180-4D75-ADD1-458C32E4F946}"/>
</file>

<file path=customXml/itemProps7.xml><?xml version="1.0" encoding="utf-8"?>
<ds:datastoreItem xmlns:ds="http://schemas.openxmlformats.org/officeDocument/2006/customXml" ds:itemID="{9B0B4F76-366C-46D6-973A-85F5B211B9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csanmod@outlook.com</dc:creator>
  <cp:keywords/>
  <dc:description/>
  <cp:lastModifiedBy>Canillas Gomez, Mariana Belen</cp:lastModifiedBy>
  <cp:revision/>
  <dcterms:created xsi:type="dcterms:W3CDTF">2017-12-25T15:45:54Z</dcterms:created>
  <dcterms:modified xsi:type="dcterms:W3CDTF">2019-06-27T20:19:10Z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TaxHTField">
    <vt:lpwstr/>
  </property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Sector IDB">
    <vt:lpwstr>44;#REFORM / MODERNIZATION OF THE STATE|c8fda4a7-691a-4c65-b227-9825197b5cd2</vt:lpwstr>
  </property>
  <property fmtid="{D5CDD505-2E9C-101B-9397-08002B2CF9AE}" pid="6" name="Sub-Sector">
    <vt:lpwstr>322;#PUBLIC EXPENDITURE MANAGEMENT|b56c0fa9-229d-468b-ab4e-704b161960d9</vt:lpwstr>
  </property>
  <property fmtid="{D5CDD505-2E9C-101B-9397-08002B2CF9AE}" pid="7" name="Series Operations IDB">
    <vt:lpwstr/>
  </property>
  <property fmtid="{D5CDD505-2E9C-101B-9397-08002B2CF9AE}" pid="8" name="Fund IDB">
    <vt:lpwstr>34;#ORC|c028a4b2-ad8b-4cf4-9cac-a2ae6a778e23</vt:lpwstr>
  </property>
  <property fmtid="{D5CDD505-2E9C-101B-9397-08002B2CF9AE}" pid="9" name="Country">
    <vt:lpwstr>31;#Peru|c988f60b-81f1-4c24-8da7-d5473741c5b0</vt:lpwstr>
  </property>
  <property fmtid="{D5CDD505-2E9C-101B-9397-08002B2CF9AE}" pid="10" name="_dlc_DocId">
    <vt:lpwstr>EZSHARE-910907750-15</vt:lpwstr>
  </property>
  <property fmtid="{D5CDD505-2E9C-101B-9397-08002B2CF9AE}" pid="11" name="_dlc_DocIdItemGuid">
    <vt:lpwstr>24cd1911-073c-434e-a6dc-313372cc53d5</vt:lpwstr>
  </property>
  <property fmtid="{D5CDD505-2E9C-101B-9397-08002B2CF9AE}" pid="12" name="_dlc_DocIdUrl">
    <vt:lpwstr>https://idbg.sharepoint.com/teams/EZ-PE-LON/PE-L1247/_layouts/15/DocIdRedir.aspx?ID=EZSHARE-910907750-15, EZSHARE-910907750-15</vt:lpwstr>
  </property>
  <property fmtid="{D5CDD505-2E9C-101B-9397-08002B2CF9AE}" pid="13" name="display_urn:schemas-microsoft-com:office:office#Editor">
    <vt:lpwstr>Canillas Gomez, Mariana Belen</vt:lpwstr>
  </property>
  <property fmtid="{D5CDD505-2E9C-101B-9397-08002B2CF9AE}" pid="14" name="display_urn:schemas-microsoft-com:office:office#Author">
    <vt:lpwstr>Canillas Gomez, Mariana Belen</vt:lpwstr>
  </property>
  <property fmtid="{D5CDD505-2E9C-101B-9397-08002B2CF9AE}" pid="16" name="Disclosure Activity">
    <vt:lpwstr>Electronic Links</vt:lpwstr>
  </property>
  <property fmtid="{D5CDD505-2E9C-101B-9397-08002B2CF9AE}" pid="17" name="ContentTypeId">
    <vt:lpwstr>0x0101001A458A224826124E8B45B1D613300CFC00495EFEBEF05FDC4EAE1A1A396C02431E</vt:lpwstr>
  </property>
</Properties>
</file>