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8180" windowHeight="11160" activeTab="2"/>
  </bookViews>
  <sheets>
    <sheet name="RRF" sheetId="15" r:id="rId1"/>
    <sheet name="RAM" sheetId="14" r:id="rId2"/>
    <sheet name="RMM" sheetId="16" r:id="rId3"/>
    <sheet name="Settings" sheetId="17" state="hidden" r:id="rId4"/>
  </sheets>
  <definedNames>
    <definedName name="Component1">RRF!$C$8</definedName>
    <definedName name="Component10">RRF!$C$98</definedName>
    <definedName name="Component11">RRF!$C$108</definedName>
    <definedName name="Component12">RRF!$C$118</definedName>
    <definedName name="Component13">RRF!#REF!</definedName>
    <definedName name="Component14">RRF!$C$128</definedName>
    <definedName name="Component15">RRF!$C$138</definedName>
    <definedName name="Component16">RRF!$C$148</definedName>
    <definedName name="Component17">RRF!$C$158</definedName>
    <definedName name="Component18">RRF!$C$168</definedName>
    <definedName name="Component19">RRF!$C$178</definedName>
    <definedName name="Component2">RRF!$C$18</definedName>
    <definedName name="Component20">RRF!$C$188</definedName>
    <definedName name="Component3">RRF!$C$28</definedName>
    <definedName name="Component4">RRF!$C$38</definedName>
    <definedName name="Component5">RRF!$C$48</definedName>
    <definedName name="Component6">RRF!$C$58</definedName>
    <definedName name="Component7">RRF!$C$68</definedName>
    <definedName name="Component8">RRF!$C$78</definedName>
    <definedName name="Component9">RRF!$C$88</definedName>
    <definedName name="Impact1">RAM!$F$15</definedName>
    <definedName name="Impact10">RAM!$F$24</definedName>
    <definedName name="Impact11">RAM!$F$25</definedName>
    <definedName name="Impact12">RAM!$F$26</definedName>
    <definedName name="Impact13">RAM!#REF!</definedName>
    <definedName name="Impact14">RAM!$F$27</definedName>
    <definedName name="Impact15">RAM!$F$28</definedName>
    <definedName name="Impact16">RAM!$F$29</definedName>
    <definedName name="Impact17">RAM!$F$30</definedName>
    <definedName name="Impact18">RAM!$F$31</definedName>
    <definedName name="Impact19">RAM!$F$32</definedName>
    <definedName name="Impact2">RAM!$F$16</definedName>
    <definedName name="Impact20">RAM!$F$33</definedName>
    <definedName name="Impact3">RAM!$F$17</definedName>
    <definedName name="Impact4">RAM!$F$18</definedName>
    <definedName name="Impact5">RAM!$F$19</definedName>
    <definedName name="Impact6">RAM!$F$20</definedName>
    <definedName name="Impact7">RAM!$F$21</definedName>
    <definedName name="Impact8">RAM!$F$22</definedName>
    <definedName name="Impact9">RAM!$F$23</definedName>
    <definedName name="Level1">RAM!$J$15</definedName>
    <definedName name="Level10">RAM!$J$24</definedName>
    <definedName name="Level11">RAM!$J$25</definedName>
    <definedName name="Level12">RAM!$J$26</definedName>
    <definedName name="Level13">RAM!#REF!</definedName>
    <definedName name="Level14">RAM!$J$27</definedName>
    <definedName name="Level15">RAM!$J$28</definedName>
    <definedName name="Level16">RAM!$J$29</definedName>
    <definedName name="Level17">RAM!$J$30</definedName>
    <definedName name="Level18">RAM!$J$31</definedName>
    <definedName name="Level19">RAM!$J$32</definedName>
    <definedName name="Level2">RAM!$J$16</definedName>
    <definedName name="Level20">RAM!$J$33</definedName>
    <definedName name="Level3">RAM!$J$17</definedName>
    <definedName name="Level4">RAM!$J$18</definedName>
    <definedName name="Level5">RAM!$J$19</definedName>
    <definedName name="Level6">RAM!$J$20</definedName>
    <definedName name="Level7">RAM!$J$21</definedName>
    <definedName name="Level8">RAM!$J$22</definedName>
    <definedName name="Level9">RAM!$J$23</definedName>
    <definedName name="_xlnm.Print_Area" localSheetId="1">RAM!$B$2:$J$34</definedName>
    <definedName name="_xlnm.Print_Area" localSheetId="2">RMM!$B$2:$Q$78</definedName>
    <definedName name="_xlnm.Print_Area" localSheetId="0">RRF!$B$2:$G$197</definedName>
    <definedName name="_xlnm.Print_Titles" localSheetId="1">RAM!$1:$14</definedName>
    <definedName name="_xlnm.Print_Titles" localSheetId="2">RMM!$9:$11</definedName>
    <definedName name="_xlnm.Print_Titles" localSheetId="0">RRF!$1:$7</definedName>
    <definedName name="Probability1">RAM!$G$15</definedName>
    <definedName name="Probability10">RAM!$G$24</definedName>
    <definedName name="Probability11">RAM!$G$25</definedName>
    <definedName name="Probability12">RAM!$G$26</definedName>
    <definedName name="Probability13">RAM!#REF!</definedName>
    <definedName name="Probability14">RAM!$G$27</definedName>
    <definedName name="Probability15">RAM!$G$28</definedName>
    <definedName name="Probability16">RAM!$G$29</definedName>
    <definedName name="Probability17">RAM!$G$30</definedName>
    <definedName name="Probability18">RAM!$G$31</definedName>
    <definedName name="Probability19">RAM!$G$32</definedName>
    <definedName name="Probability2">RAM!$G$16</definedName>
    <definedName name="Probability20">RAM!$G$33</definedName>
    <definedName name="Probability3">RAM!$G$17</definedName>
    <definedName name="Probability4">RAM!$G$18</definedName>
    <definedName name="Probability5">RAM!$G$19</definedName>
    <definedName name="Probability6">RAM!$G$20</definedName>
    <definedName name="Probability7">RAM!$G$21</definedName>
    <definedName name="Probability8">RAM!$G$22</definedName>
    <definedName name="Probability9">RAM!$G$23</definedName>
    <definedName name="Risk1">RRF!$E$8</definedName>
    <definedName name="Risk10">RRF!$E$98</definedName>
    <definedName name="Risk11">RRF!$E$108</definedName>
    <definedName name="Risk12">RRF!$E$118</definedName>
    <definedName name="Risk13">RRF!#REF!</definedName>
    <definedName name="Risk14">RRF!$E$128</definedName>
    <definedName name="Risk15">RRF!$E$138</definedName>
    <definedName name="Risk16">RRF!$E$148</definedName>
    <definedName name="Risk17">RRF!$E$158</definedName>
    <definedName name="Risk18">RRF!$E$168</definedName>
    <definedName name="Risk19">RRF!$E$178</definedName>
    <definedName name="Risk2">RRF!$E$18</definedName>
    <definedName name="Risk20">RRF!$E$188</definedName>
    <definedName name="Risk3">RRF!$E$28</definedName>
    <definedName name="Risk4">RRF!$E$38</definedName>
    <definedName name="Risk5">RRF!$E$48</definedName>
    <definedName name="Risk6">RRF!$E$58</definedName>
    <definedName name="Risk7">RRF!$E$68</definedName>
    <definedName name="Risk8">RRF!$E$78</definedName>
    <definedName name="Risk9">RRF!$E$88</definedName>
    <definedName name="Typeofrisk1">RRF!$D$8</definedName>
    <definedName name="Typeofrisk10">RRF!$D$98</definedName>
    <definedName name="Typeofrisk11">RRF!$D$108</definedName>
    <definedName name="Typeofrisk12">RRF!$D$118</definedName>
    <definedName name="Typeofrisk13">RRF!#REF!</definedName>
    <definedName name="Typeofrisk14">RRF!$D$128</definedName>
    <definedName name="Typeofrisk15">RRF!$D$138</definedName>
    <definedName name="Typeofrisk16">RRF!$D$148</definedName>
    <definedName name="Typeofrisk17">RRF!$D$158</definedName>
    <definedName name="Typeofrisk18">RRF!$D$168</definedName>
    <definedName name="Typeofrisk19">RRF!$D$178</definedName>
    <definedName name="Typeofrisk2">RRF!$D$18</definedName>
    <definedName name="Typeofrisk20">RRF!$D$188</definedName>
    <definedName name="Typeofrisk3">RRF!$D$28</definedName>
    <definedName name="Typeofrisk4">RRF!$D$38</definedName>
    <definedName name="Typeofrisk5">RRF!$D$48</definedName>
    <definedName name="Typeofrisk6">RRF!$D$58</definedName>
    <definedName name="Typeofrisk7">RRF!$D$68</definedName>
    <definedName name="Typeofrisk8">RRF!$D$78</definedName>
    <definedName name="Typeofrisk9">RRF!$D$88</definedName>
    <definedName name="Value1">RAM!$I$15</definedName>
    <definedName name="Value10">RAM!$I$24</definedName>
    <definedName name="Value11">RAM!$I$25</definedName>
    <definedName name="Value12">RAM!$I$26</definedName>
    <definedName name="Value13">RAM!#REF!</definedName>
    <definedName name="Value14">RAM!$I$27</definedName>
    <definedName name="Value15">RAM!$I$28</definedName>
    <definedName name="Value16">RAM!$I$29</definedName>
    <definedName name="Value17">RAM!$I$30</definedName>
    <definedName name="Value18">RAM!$I$31</definedName>
    <definedName name="Value19">RAM!$I$32</definedName>
    <definedName name="Value2">RAM!$I$16</definedName>
    <definedName name="Value20">RAM!$I$33</definedName>
    <definedName name="Value3">RAM!$I$17</definedName>
    <definedName name="Value4">RAM!$I$18</definedName>
    <definedName name="Value5">RAM!$I$19</definedName>
    <definedName name="Value6">RAM!$I$20</definedName>
    <definedName name="Value7">RAM!$I$21</definedName>
    <definedName name="Value8">RAM!$I$22</definedName>
    <definedName name="Value9">RAM!$I$23</definedName>
  </definedNames>
  <calcPr calcId="145621"/>
</workbook>
</file>

<file path=xl/calcChain.xml><?xml version="1.0" encoding="utf-8"?>
<calcChain xmlns="http://schemas.openxmlformats.org/spreadsheetml/2006/main">
  <c r="E31" i="16" l="1"/>
  <c r="C12" i="16"/>
  <c r="D12" i="16"/>
  <c r="E12" i="16"/>
  <c r="F12" i="16"/>
  <c r="G12" i="16"/>
  <c r="C31" i="16" l="1"/>
  <c r="D15" i="14"/>
  <c r="E75" i="16"/>
  <c r="D75" i="16"/>
  <c r="C75" i="16"/>
  <c r="E71" i="16"/>
  <c r="D71" i="16"/>
  <c r="C71" i="16"/>
  <c r="E67" i="16"/>
  <c r="D67" i="16"/>
  <c r="C67" i="16"/>
  <c r="E63" i="16"/>
  <c r="D63" i="16"/>
  <c r="C63" i="16"/>
  <c r="E59" i="16"/>
  <c r="D59" i="16"/>
  <c r="C59" i="16"/>
  <c r="E55" i="16"/>
  <c r="D55" i="16"/>
  <c r="C55" i="16"/>
  <c r="E51" i="16"/>
  <c r="D51" i="16"/>
  <c r="C51" i="16"/>
  <c r="E47" i="16"/>
  <c r="D47" i="16"/>
  <c r="C47" i="16"/>
  <c r="E43" i="16"/>
  <c r="D43" i="16"/>
  <c r="C43" i="16"/>
  <c r="E39" i="16"/>
  <c r="D39" i="16"/>
  <c r="C39" i="16"/>
  <c r="E35" i="16"/>
  <c r="D35" i="16"/>
  <c r="C35" i="16"/>
  <c r="D31" i="16"/>
  <c r="E28" i="16"/>
  <c r="D28" i="16"/>
  <c r="C28" i="16"/>
  <c r="E27" i="16"/>
  <c r="D27" i="16"/>
  <c r="C27" i="16"/>
  <c r="E23" i="16"/>
  <c r="D23" i="16"/>
  <c r="C23" i="16"/>
  <c r="E19" i="16"/>
  <c r="D19" i="16"/>
  <c r="C19" i="16"/>
  <c r="E15" i="16"/>
  <c r="D15" i="16"/>
  <c r="C15" i="16"/>
  <c r="E14" i="16"/>
  <c r="D14" i="16"/>
  <c r="C14" i="16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C15" i="14"/>
  <c r="H15" i="14"/>
  <c r="I15" i="14"/>
  <c r="H16" i="14"/>
  <c r="I16" i="14" s="1"/>
  <c r="H17" i="14"/>
  <c r="I17" i="14" s="1"/>
  <c r="H18" i="14"/>
  <c r="I18" i="14" s="1"/>
  <c r="H19" i="14"/>
  <c r="I19" i="14" s="1"/>
  <c r="J19" i="14" s="1"/>
  <c r="G23" i="16" s="1"/>
  <c r="H20" i="14"/>
  <c r="I20" i="14" s="1"/>
  <c r="H21" i="14"/>
  <c r="I21" i="14" s="1"/>
  <c r="H22" i="14"/>
  <c r="I22" i="14" s="1"/>
  <c r="H23" i="14"/>
  <c r="I23" i="14" s="1"/>
  <c r="H24" i="14"/>
  <c r="I24" i="14"/>
  <c r="F39" i="16" s="1"/>
  <c r="H25" i="14"/>
  <c r="I25" i="14" s="1"/>
  <c r="H26" i="14"/>
  <c r="H27" i="14"/>
  <c r="I27" i="14" s="1"/>
  <c r="H28" i="14"/>
  <c r="I28" i="14" s="1"/>
  <c r="H29" i="14"/>
  <c r="I29" i="14" s="1"/>
  <c r="J29" i="14" s="1"/>
  <c r="G59" i="16" s="1"/>
  <c r="H30" i="14"/>
  <c r="I30" i="14"/>
  <c r="J30" i="14"/>
  <c r="G63" i="16"/>
  <c r="H31" i="14"/>
  <c r="H32" i="14"/>
  <c r="I32" i="14"/>
  <c r="J32" i="14"/>
  <c r="G71" i="16" s="1"/>
  <c r="H33" i="14"/>
  <c r="J15" i="14"/>
  <c r="F63" i="16"/>
  <c r="F71" i="16"/>
  <c r="I33" i="14"/>
  <c r="J33" i="14"/>
  <c r="G75" i="16" s="1"/>
  <c r="I31" i="14"/>
  <c r="F67" i="16" s="1"/>
  <c r="J31" i="14"/>
  <c r="G67" i="16"/>
  <c r="I26" i="14"/>
  <c r="J26" i="14" s="1"/>
  <c r="G47" i="16" s="1"/>
  <c r="J34" i="14"/>
  <c r="F75" i="16"/>
  <c r="F43" i="16" l="1"/>
  <c r="J25" i="14"/>
  <c r="G43" i="16" s="1"/>
  <c r="J22" i="14"/>
  <c r="G31" i="16" s="1"/>
  <c r="F31" i="16"/>
  <c r="J27" i="14"/>
  <c r="G51" i="16" s="1"/>
  <c r="F51" i="16"/>
  <c r="J21" i="14"/>
  <c r="G28" i="16" s="1"/>
  <c r="F28" i="16"/>
  <c r="F14" i="16"/>
  <c r="J16" i="14"/>
  <c r="G14" i="16" s="1"/>
  <c r="F47" i="16"/>
  <c r="J24" i="14"/>
  <c r="G39" i="16" s="1"/>
  <c r="F55" i="16"/>
  <c r="J28" i="14"/>
  <c r="G55" i="16" s="1"/>
  <c r="F59" i="16"/>
  <c r="J23" i="14"/>
  <c r="G35" i="16" s="1"/>
  <c r="F35" i="16"/>
  <c r="J20" i="14"/>
  <c r="G27" i="16" s="1"/>
  <c r="F27" i="16"/>
  <c r="F19" i="16"/>
  <c r="J18" i="14"/>
  <c r="G19" i="16" s="1"/>
  <c r="F23" i="16"/>
  <c r="F15" i="16"/>
  <c r="J17" i="14"/>
  <c r="G15" i="16" s="1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 xml:space="preserve">
Select one type of risk from the list below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Inter-American Development Bank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Describe how the activity is going to be carried out to mitigate a risk.  For example: hiring a consultant for ex-post review </t>
        </r>
      </text>
    </comment>
    <comment ref="O10" authorId="1">
      <text>
        <r>
          <rPr>
            <sz val="8"/>
            <color indexed="81"/>
            <rFont val="Tahoma"/>
            <family val="2"/>
          </rPr>
          <t>Describe how the mitigation action performed will be verified.  The compliance indicator should allow the measurement of the effectiveness of the mitigation action. For example:  ex-post review report by consultant, discussed and accepted by the Client and the Bank.</t>
        </r>
      </text>
    </comment>
  </commentList>
</comments>
</file>

<file path=xl/sharedStrings.xml><?xml version="1.0" encoding="utf-8"?>
<sst xmlns="http://schemas.openxmlformats.org/spreadsheetml/2006/main" count="372" uniqueCount="287">
  <si>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</si>
  <si>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</si>
  <si>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</si>
  <si>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</si>
  <si>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</si>
  <si>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</si>
  <si>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</si>
  <si>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</si>
  <si>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</si>
  <si>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</si>
  <si>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4</t>
  </si>
  <si>
    <t>5</t>
  </si>
  <si>
    <t>6</t>
  </si>
  <si>
    <t>7</t>
  </si>
  <si>
    <t>8</t>
  </si>
  <si>
    <t>9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</si>
  <si>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</si>
  <si>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</si>
  <si>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</si>
  <si>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</si>
  <si>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</si>
  <si>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</si>
  <si>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</si>
  <si>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</si>
  <si>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</si>
  <si>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</si>
  <si>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</si>
  <si>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</si>
  <si>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</si>
  <si>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</si>
  <si>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</si>
  <si>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</si>
  <si>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</si>
  <si>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</si>
  <si>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</si>
  <si>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</si>
  <si>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</si>
  <si>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</si>
  <si>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Activity Label</t>
  </si>
  <si>
    <t>Monitoring Date Label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</si>
  <si>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</si>
  <si>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</si>
  <si>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</si>
  <si>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</si>
  <si>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</si>
  <si>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</si>
  <si>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</si>
  <si>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</si>
  <si>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</si>
  <si>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</si>
  <si>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</si>
  <si>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</si>
  <si>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</si>
  <si>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</si>
  <si>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</si>
  <si>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</si>
  <si>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</si>
  <si>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</si>
  <si>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</si>
  <si>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</si>
  <si>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</si>
  <si>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</si>
  <si>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</si>
  <si>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</si>
  <si>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</si>
  <si>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</si>
  <si>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</si>
  <si>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</si>
  <si>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</si>
  <si>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</si>
  <si>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</si>
  <si>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</si>
  <si>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</si>
  <si>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</si>
  <si>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</si>
  <si>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</si>
  <si>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</si>
  <si>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</si>
  <si>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</si>
  <si>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</si>
  <si>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</si>
  <si>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</si>
  <si>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</si>
  <si>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</si>
  <si>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</si>
  <si>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</si>
  <si>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</si>
  <si>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</si>
  <si>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</si>
  <si>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</si>
  <si>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</si>
  <si>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</si>
  <si>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</si>
  <si>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</si>
  <si>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</si>
  <si>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</si>
  <si>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</si>
  <si>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</si>
  <si>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</si>
  <si>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</si>
  <si>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</si>
  <si>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</si>
  <si>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</si>
  <si>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</si>
  <si>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</si>
  <si>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</si>
  <si>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</si>
  <si>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</si>
  <si>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</si>
  <si>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</si>
  <si>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</si>
  <si>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</si>
  <si>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</si>
  <si>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</si>
  <si>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</si>
  <si>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</si>
  <si>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</si>
  <si>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</si>
  <si>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</si>
  <si>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</si>
  <si>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</si>
  <si>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</si>
  <si>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</si>
  <si>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</si>
  <si>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</si>
  <si>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</si>
  <si>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</si>
  <si>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</si>
  <si>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</si>
  <si>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</si>
  <si>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</si>
  <si>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</si>
  <si>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</si>
  <si>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</si>
  <si>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</si>
  <si>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</si>
  <si>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</si>
  <si>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</si>
  <si>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</si>
  <si>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</si>
  <si>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</si>
  <si>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</si>
  <si>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</si>
  <si>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</si>
  <si>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</si>
  <si>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</si>
  <si>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</si>
  <si>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</si>
  <si>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</si>
  <si>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</si>
  <si>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</si>
  <si>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</si>
  <si>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</si>
  <si>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</si>
  <si>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</si>
  <si>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</si>
  <si>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</si>
  <si>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</si>
  <si>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</si>
  <si>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</si>
  <si>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</si>
  <si>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</si>
  <si>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</si>
  <si>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</si>
  <si>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</si>
  <si>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</si>
  <si>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</si>
  <si>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</si>
  <si>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</si>
  <si>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</si>
  <si>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</si>
  <si>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</si>
  <si>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</si>
  <si>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</si>
  <si>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</si>
  <si>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</si>
  <si>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</si>
  <si>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</si>
  <si>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</si>
  <si>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</si>
  <si>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Agencia Ejecutora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</si>
  <si>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</si>
  <si>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</si>
  <si>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</si>
  <si>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</si>
  <si>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</si>
  <si>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</si>
  <si>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</si>
  <si>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</si>
  <si>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</si>
  <si>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</si>
  <si>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</si>
  <si>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</si>
  <si>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</si>
  <si>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</si>
  <si>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</si>
  <si>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</si>
  <si>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</si>
  <si>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</si>
  <si>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</si>
  <si>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</si>
  <si>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</si>
  <si>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>INTER-AMERICAN DEVELOPMENT BANK</t>
  </si>
  <si>
    <t>PROJECT RISK MANAGEMENT</t>
  </si>
  <si>
    <t>Impact</t>
  </si>
  <si>
    <t>Value</t>
  </si>
  <si>
    <t>High</t>
  </si>
  <si>
    <t>Medium</t>
  </si>
  <si>
    <t>Low</t>
  </si>
  <si>
    <t>Probability</t>
  </si>
  <si>
    <t>Development</t>
  </si>
  <si>
    <t>Monitoring and Accountability</t>
  </si>
  <si>
    <t>Fiduciary</t>
  </si>
  <si>
    <t>RISK MITIGATION MATRIX</t>
  </si>
  <si>
    <t>Risk Classification</t>
  </si>
  <si>
    <r>
      <rPr>
        <b/>
        <sz val="10"/>
        <color theme="0"/>
        <rFont val="Arial"/>
        <family val="2"/>
      </rPr>
      <t xml:space="preserve">Risk Rating </t>
    </r>
    <r>
      <rPr>
        <b/>
        <sz val="8"/>
        <color theme="0"/>
        <rFont val="Arial"/>
        <family val="2"/>
      </rPr>
      <t xml:space="preserve">  </t>
    </r>
    <r>
      <rPr>
        <b/>
        <sz val="6"/>
        <color theme="0"/>
        <rFont val="Arial"/>
        <family val="2"/>
      </rPr>
      <t>(Probability x Impact)</t>
    </r>
  </si>
  <si>
    <t xml:space="preserve"> </t>
  </si>
  <si>
    <t>Probability Factor</t>
  </si>
  <si>
    <t>How will the activity be carried out?</t>
  </si>
  <si>
    <t>Responsible Party</t>
  </si>
  <si>
    <r>
      <t xml:space="preserve">End Date </t>
    </r>
    <r>
      <rPr>
        <b/>
        <sz val="8"/>
        <rFont val="Arial"/>
        <family val="2"/>
      </rPr>
      <t>(Month/Day/Year)</t>
    </r>
  </si>
  <si>
    <r>
      <t xml:space="preserve">Start Date </t>
    </r>
    <r>
      <rPr>
        <b/>
        <sz val="8"/>
        <rFont val="Arial"/>
        <family val="2"/>
      </rPr>
      <t>(Month/Day /Year)</t>
    </r>
  </si>
  <si>
    <r>
      <t>Monitoring Date</t>
    </r>
    <r>
      <rPr>
        <b/>
        <sz val="8"/>
        <rFont val="Arial"/>
        <family val="2"/>
      </rPr>
      <t xml:space="preserve"> (Month/Day/Year)</t>
    </r>
  </si>
  <si>
    <t>Compliance Indicator</t>
  </si>
  <si>
    <t>RISKS AND PROBABILITY FACTORS</t>
  </si>
  <si>
    <t>RISK ASSESSMENT MATRIX</t>
  </si>
  <si>
    <t>Nº</t>
  </si>
  <si>
    <t>Public Management and Governance</t>
  </si>
  <si>
    <t>Macroeconomic and Fiscal Sustainability</t>
  </si>
  <si>
    <t>Environmental and Social Sustainability</t>
  </si>
  <si>
    <t>Reputation</t>
  </si>
  <si>
    <t>Project/ Component/ Product</t>
  </si>
  <si>
    <t>Project/ Component / Product</t>
  </si>
  <si>
    <t>End of Program Execution</t>
  </si>
  <si>
    <t>x</t>
  </si>
  <si>
    <t>Component 1</t>
  </si>
  <si>
    <t xml:space="preserve">Low levels of participation of targeted population </t>
  </si>
  <si>
    <t>Lack of confidence in government and perception of limited effectiveness of Government Programs; Uncoordinated initiatives ongoing in communities</t>
  </si>
  <si>
    <t>Limited involvement of targeted communities; Lack of buy-in of approaches by communities</t>
  </si>
  <si>
    <t>Population (along with crime and violence) shifting around the country</t>
  </si>
  <si>
    <t>Program does not adequately prioritize high risk  communities</t>
  </si>
  <si>
    <t xml:space="preserve">Safety concerns within communities </t>
  </si>
  <si>
    <t xml:space="preserve">People unwilling to leave households resulting in low levels of participation </t>
  </si>
  <si>
    <t>Relying exclusively on traditional criteria for selection of participating communities (not taking into account special vulnerabilities of indigenous communities)</t>
  </si>
  <si>
    <t>Exclusion from Program activities of minitory groups, such as Amerindian communities</t>
  </si>
  <si>
    <t>Sustainability of community interventions</t>
  </si>
  <si>
    <t>Results are only short-term and activities don't result in long-term transformation in communities</t>
  </si>
  <si>
    <t>Component 2</t>
  </si>
  <si>
    <t xml:space="preserve">Misconduct of Police in dealing with communities; lack of trust in Police </t>
  </si>
  <si>
    <t xml:space="preserve">Diminishes likely effectiveness of efforts to strengthen relationships between GPF and communities </t>
  </si>
  <si>
    <t>Low confidence in institutions</t>
  </si>
  <si>
    <t xml:space="preserve">Inefficient delivery and applicability of training </t>
  </si>
  <si>
    <t>Component 3</t>
  </si>
  <si>
    <t>Public backslash and resistance to corrective approach</t>
  </si>
  <si>
    <t>public unrest</t>
  </si>
  <si>
    <t xml:space="preserve">Slow up-take of re-integration program </t>
  </si>
  <si>
    <t>Component 4</t>
  </si>
  <si>
    <t>Limited dissemination of data</t>
  </si>
  <si>
    <t>Cross Cutting</t>
  </si>
  <si>
    <t>Negative perception of Program</t>
  </si>
  <si>
    <t>Lack of participation and involvement in Program activities</t>
  </si>
  <si>
    <t>Lack of Transparency (reputation)</t>
  </si>
  <si>
    <t>Potential misuse of Program resources</t>
  </si>
  <si>
    <t>Political interference in the administration of human resources</t>
  </si>
  <si>
    <t>Personnel that supports the project’s technical and administrative activities is not competent</t>
  </si>
  <si>
    <t>Component 2 and Component 4</t>
  </si>
  <si>
    <t xml:space="preserve">Insufficient information </t>
  </si>
  <si>
    <t>formal coordination mechanisms among stakeholders institutions (Program Steering Committee)</t>
  </si>
  <si>
    <t xml:space="preserve">Set-up the Steering Committee </t>
  </si>
  <si>
    <t>Government of Guyana</t>
  </si>
  <si>
    <t xml:space="preserve">Lack of engagement of youth in communities due to cultural and ethnic imbalance </t>
  </si>
  <si>
    <t>Q1 2015</t>
  </si>
  <si>
    <t>Reports from CACs</t>
  </si>
  <si>
    <t>Minutes from meetings</t>
  </si>
  <si>
    <t>Monitored by Community Action Officers</t>
  </si>
  <si>
    <t xml:space="preserve"> Establishment of Community Action Councils </t>
  </si>
  <si>
    <t>Strengthening of the Office of Professional Responsibility</t>
  </si>
  <si>
    <t>Strengthening of Police Complaints Authority (PCA)</t>
  </si>
  <si>
    <t>Monitored by Community Action Officers (CACs)</t>
  </si>
  <si>
    <t>Permanent dialogue between the Police Complaints Authority and the GPF</t>
  </si>
  <si>
    <t>Permanent dialogue between the Office of the Professional Responsibility and the GPF</t>
  </si>
  <si>
    <t>Program initiation</t>
  </si>
  <si>
    <t>Reports from PCA</t>
  </si>
  <si>
    <t>Reports from the Office of Professional Responsibility</t>
  </si>
  <si>
    <t>Personnel trained on prevention and investigation of human trafficking</t>
  </si>
  <si>
    <t>Hiring of consultant/firm to provide training</t>
  </si>
  <si>
    <t>Number of training sessions 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</si>
</sst>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2" borderId="0" xfId="0" applyFill="1" applyProtection="1"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0" fillId="2" borderId="6" xfId="0" applyFill="1" applyBorder="1" applyAlignment="1" applyProtection="1">
      <alignment horizontal="justify" vertical="center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justify" vertical="top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0" fillId="0" borderId="14" xfId="0" applyBorder="1" applyAlignment="1" applyProtection="1">
      <alignment vertical="distributed"/>
      <protection locked="0"/>
    </xf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justify" vertical="center"/>
      <protection locked="0"/>
    </xf>
    <xf numFmtId="0" fontId="0" fillId="2" borderId="33" xfId="0" applyFill="1" applyBorder="1" applyAlignment="1" applyProtection="1">
      <alignment horizontal="justify" vertical="top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distributed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0" fillId="6" borderId="0" xfId="0" applyFont="1" applyFill="1"/>
    <xf numFmtId="0" fontId="10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2" fillId="6" borderId="0" xfId="0" applyFont="1" applyFill="1"/>
    <xf numFmtId="0" fontId="11" fillId="6" borderId="0" xfId="0" applyFont="1" applyFill="1"/>
    <xf numFmtId="0" fontId="2" fillId="7" borderId="0" xfId="0" applyFont="1" applyFill="1"/>
    <xf numFmtId="0" fontId="0" fillId="2" borderId="14" xfId="0" applyFill="1" applyBorder="1" applyAlignment="1" applyProtection="1">
      <alignment horizontal="justify" vertical="top"/>
      <protection locked="0"/>
    </xf>
    <xf numFmtId="0" fontId="0" fillId="8" borderId="0" xfId="0" applyFill="1" applyBorder="1"/>
    <xf numFmtId="0" fontId="0" fillId="8" borderId="0" xfId="0" applyFill="1"/>
    <xf numFmtId="0" fontId="10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9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3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1" fillId="2" borderId="0" xfId="0" applyFont="1" applyFill="1" applyBorder="1" applyAlignment="1" applyProtection="1">
      <alignment vertical="center"/>
      <protection locked="0"/>
    </xf>
    <xf numFmtId="0" fontId="14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3" fillId="9" borderId="33" xfId="0" applyFont="1" applyFill="1" applyBorder="1" applyAlignment="1" applyProtection="1">
      <alignment horizontal="centerContinuous" vertical="center"/>
      <protection locked="0"/>
    </xf>
    <xf numFmtId="0" fontId="13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9" fillId="8" borderId="0" xfId="0" applyFont="1" applyFill="1" applyBorder="1" applyAlignment="1" applyProtection="1">
      <alignment horizontal="center"/>
    </xf>
    <xf numFmtId="0" fontId="19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49" fontId="0" fillId="8" borderId="0" xfId="0" applyNumberFormat="1" applyFill="1" applyAlignment="1" applyProtection="1">
      <alignment horizontal="center"/>
    </xf>
    <xf numFmtId="49" fontId="0" fillId="8" borderId="0" xfId="0" applyNumberFormat="1" applyFill="1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3" fillId="11" borderId="28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21" fillId="8" borderId="0" xfId="0" applyFont="1" applyFill="1" applyAlignment="1" applyProtection="1">
      <alignment horizontal="center" vertical="top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5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vertical="center" wrapText="1"/>
      <protection locked="0"/>
    </xf>
    <xf numFmtId="3" fontId="0" fillId="2" borderId="6" xfId="0" applyNumberFormat="1" applyFill="1" applyBorder="1" applyAlignment="1" applyProtection="1">
      <alignment horizontal="justify" vertical="top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justify" vertical="center" wrapText="1"/>
      <protection locked="0"/>
    </xf>
    <xf numFmtId="0" fontId="1" fillId="2" borderId="6" xfId="0" applyFont="1" applyFill="1" applyBorder="1" applyAlignment="1" applyProtection="1">
      <alignment horizontal="justify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0" fontId="22" fillId="0" borderId="0" xfId="0" applyFont="1" applyAlignment="1">
      <alignment horizontal="center" wrapText="1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9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 vertical="center" wrapText="1"/>
    </xf>
    <xf numFmtId="0" fontId="13" fillId="11" borderId="37" xfId="0" applyFont="1" applyFill="1" applyBorder="1" applyAlignment="1">
      <alignment horizontal="center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left" vertical="center" wrapText="1"/>
      <protection locked="0"/>
    </xf>
    <xf numFmtId="0" fontId="2" fillId="8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vertical="center"/>
      <protection locked="0"/>
    </xf>
    <xf numFmtId="0" fontId="13" fillId="9" borderId="33" xfId="0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9" borderId="37" xfId="0" applyFont="1" applyFill="1" applyBorder="1" applyAlignment="1" applyProtection="1">
      <alignment horizontal="center" vertical="center"/>
      <protection locked="0"/>
    </xf>
    <xf numFmtId="0" fontId="13" fillId="9" borderId="38" xfId="0" applyFont="1" applyFill="1" applyBorder="1" applyAlignment="1" applyProtection="1">
      <alignment horizontal="center" vertical="center"/>
      <protection locked="0"/>
    </xf>
    <xf numFmtId="0" fontId="20" fillId="8" borderId="26" xfId="0" applyFont="1" applyFill="1" applyBorder="1" applyAlignment="1" applyProtection="1">
      <alignment horizontal="left" vertical="top" wrapText="1"/>
    </xf>
    <xf numFmtId="0" fontId="13" fillId="9" borderId="23" xfId="0" applyFont="1" applyFill="1" applyBorder="1" applyAlignment="1" applyProtection="1">
      <alignment horizontal="left"/>
      <protection locked="0"/>
    </xf>
    <xf numFmtId="0" fontId="13" fillId="9" borderId="33" xfId="0" applyFont="1" applyFill="1" applyBorder="1" applyAlignment="1" applyProtection="1">
      <alignment horizontal="left"/>
      <protection locked="0"/>
    </xf>
    <xf numFmtId="0" fontId="13" fillId="9" borderId="40" xfId="0" applyFont="1" applyFill="1" applyBorder="1" applyAlignment="1" applyProtection="1">
      <alignment horizontal="left"/>
      <protection locked="0"/>
    </xf>
    <xf numFmtId="0" fontId="14" fillId="9" borderId="17" xfId="0" applyFont="1" applyFill="1" applyBorder="1" applyAlignment="1" applyProtection="1">
      <alignment horizontal="center" wrapText="1"/>
      <protection locked="0"/>
    </xf>
    <xf numFmtId="0" fontId="14" fillId="9" borderId="11" xfId="0" applyFont="1" applyFill="1" applyBorder="1" applyAlignment="1" applyProtection="1">
      <alignment horizontal="center" wrapText="1"/>
      <protection locked="0"/>
    </xf>
    <xf numFmtId="0" fontId="13" fillId="9" borderId="7" xfId="0" applyFont="1" applyFill="1" applyBorder="1" applyAlignment="1" applyProtection="1">
      <alignment horizontal="center"/>
      <protection locked="0"/>
    </xf>
    <xf numFmtId="0" fontId="13" fillId="9" borderId="8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/>
      <protection locked="0"/>
    </xf>
    <xf numFmtId="0" fontId="13" fillId="9" borderId="4" xfId="0" applyFont="1" applyFill="1" applyBorder="1" applyAlignment="1" applyProtection="1">
      <alignment horizontal="center"/>
      <protection locked="0"/>
    </xf>
    <xf numFmtId="0" fontId="14" fillId="9" borderId="31" xfId="0" applyFont="1" applyFill="1" applyBorder="1" applyAlignment="1" applyProtection="1">
      <alignment horizontal="center" vertical="center" wrapText="1"/>
      <protection locked="0"/>
    </xf>
    <xf numFmtId="0" fontId="14" fillId="9" borderId="15" xfId="0" applyFont="1" applyFill="1" applyBorder="1" applyAlignment="1" applyProtection="1">
      <alignment horizontal="center" vertical="center" wrapText="1"/>
      <protection locked="0"/>
    </xf>
    <xf numFmtId="0" fontId="13" fillId="9" borderId="32" xfId="0" applyFont="1" applyFill="1" applyBorder="1" applyAlignment="1" applyProtection="1">
      <alignment horizontal="center" vertical="center" wrapText="1"/>
      <protection locked="0"/>
    </xf>
    <xf numFmtId="0" fontId="13" fillId="9" borderId="33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13" fillId="9" borderId="20" xfId="0" applyFont="1" applyFill="1" applyBorder="1" applyAlignment="1" applyProtection="1">
      <alignment horizontal="center" vertical="center"/>
      <protection locked="0"/>
    </xf>
    <xf numFmtId="0" fontId="13" fillId="9" borderId="16" xfId="0" applyFont="1" applyFill="1" applyBorder="1" applyAlignment="1" applyProtection="1">
      <alignment horizontal="left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0" fillId="2" borderId="15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2" borderId="14" xfId="0" applyFill="1" applyBorder="1" applyAlignment="1" applyProtection="1">
      <alignment horizontal="justify" vertical="top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49" fontId="0" fillId="0" borderId="14" xfId="0" applyNumberFormat="1" applyBorder="1" applyAlignment="1" applyProtection="1">
      <alignment horizontal="center" vertical="top"/>
      <protection locked="0"/>
    </xf>
    <xf numFmtId="49" fontId="0" fillId="0" borderId="15" xfId="0" applyNumberForma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9" borderId="19" xfId="0" applyFont="1" applyFill="1" applyBorder="1" applyAlignment="1" applyProtection="1">
      <alignment horizontal="center" vertical="center"/>
      <protection locked="0"/>
    </xf>
    <xf numFmtId="0" fontId="13" fillId="9" borderId="24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3" fillId="9" borderId="31" xfId="0" applyFont="1" applyFill="1" applyBorder="1" applyAlignment="1" applyProtection="1">
      <alignment horizontal="center" vertical="center" textRotation="90" wrapText="1"/>
      <protection locked="0"/>
    </xf>
    <xf numFmtId="0" fontId="13" fillId="9" borderId="13" xfId="0" applyFont="1" applyFill="1" applyBorder="1" applyAlignment="1" applyProtection="1">
      <alignment horizontal="center" vertical="center" textRotation="90" wrapText="1"/>
      <protection locked="0"/>
    </xf>
    <xf numFmtId="0" fontId="15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13" fillId="9" borderId="35" xfId="0" applyFont="1" applyFill="1" applyBorder="1" applyAlignment="1" applyProtection="1">
      <alignment horizontal="center" vertical="center"/>
      <protection locked="0"/>
    </xf>
    <xf numFmtId="0" fontId="13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12" xfId="0" applyFont="1" applyFill="1" applyBorder="1" applyAlignment="1" applyProtection="1">
      <alignment horizontal="center" vertical="center" wrapText="1"/>
      <protection locked="0"/>
    </xf>
    <xf numFmtId="0" fontId="2" fillId="10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  <xf numFmtId="0" fontId="0" fillId="6" borderId="31" xfId="0" applyFont="1" applyFill="1" applyBorder="1" applyAlignment="1" applyProtection="1">
      <alignment horizontal="center" vertical="center" wrapText="1"/>
      <protection locked="0"/>
    </xf>
    <xf numFmtId="0" fontId="1" fillId="6" borderId="11" xfId="0" applyFont="1" applyFill="1" applyBorder="1" applyAlignment="1" applyProtection="1">
      <alignment horizontal="left" vertical="center" wrapText="1"/>
      <protection locked="0"/>
    </xf>
    <xf numFmtId="0" fontId="0" fillId="6" borderId="11" xfId="0" applyFont="1" applyFill="1" applyBorder="1" applyAlignment="1" applyProtection="1">
      <alignment horizontal="left" vertical="center" wrapText="1"/>
      <protection locked="0"/>
    </xf>
    <xf numFmtId="0" fontId="0" fillId="6" borderId="13" xfId="0" applyFont="1" applyFill="1" applyBorder="1" applyAlignment="1" applyProtection="1">
      <alignment horizontal="left" vertical="center" wrapText="1"/>
      <protection locked="0"/>
    </xf>
    <xf numFmtId="0" fontId="0" fillId="6" borderId="4" xfId="0" applyFont="1" applyFill="1" applyBorder="1" applyAlignment="1">
      <alignment horizontal="justify"/>
    </xf>
    <xf numFmtId="0" fontId="1" fillId="6" borderId="13" xfId="0" applyFont="1" applyFill="1" applyBorder="1" applyAlignment="1" applyProtection="1">
      <alignment horizontal="center" vertical="center" wrapText="1"/>
      <protection locked="0"/>
    </xf>
    <xf numFmtId="0" fontId="1" fillId="6" borderId="8" xfId="0" applyFont="1" applyFill="1" applyBorder="1" applyAlignment="1" applyProtection="1">
      <alignment horizontal="left" vertical="center" wrapText="1"/>
      <protection locked="0"/>
    </xf>
    <xf numFmtId="0" fontId="1" fillId="6" borderId="13" xfId="0" applyFont="1" applyFill="1" applyBorder="1" applyAlignment="1" applyProtection="1">
      <alignment horizontal="left" vertical="center" wrapText="1"/>
      <protection locked="0"/>
    </xf>
    <xf numFmtId="0" fontId="0" fillId="6" borderId="1" xfId="0" applyFont="1" applyFill="1" applyBorder="1" applyAlignment="1">
      <alignment horizontal="justify"/>
    </xf>
    <xf numFmtId="0" fontId="1" fillId="6" borderId="1" xfId="0" applyFont="1" applyFill="1" applyBorder="1" applyAlignment="1">
      <alignment horizontal="justify"/>
    </xf>
    <xf numFmtId="0" fontId="1" fillId="6" borderId="17" xfId="0" applyFont="1" applyFill="1" applyBorder="1" applyAlignment="1" applyProtection="1">
      <alignment horizontal="left" vertical="center" wrapText="1"/>
      <protection locked="0"/>
    </xf>
    <xf numFmtId="0" fontId="1" fillId="6" borderId="5" xfId="0" applyFont="1" applyFill="1" applyBorder="1" applyAlignment="1">
      <alignment horizontal="justify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1" fillId="0" borderId="17" xfId="0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0" fillId="12" borderId="31" xfId="0" applyFont="1" applyFill="1" applyBorder="1" applyAlignment="1" applyProtection="1">
      <alignment horizontal="center" vertical="center" wrapText="1"/>
      <protection locked="0"/>
    </xf>
    <xf numFmtId="0" fontId="1" fillId="12" borderId="11" xfId="0" applyFont="1" applyFill="1" applyBorder="1" applyAlignment="1" applyProtection="1">
      <alignment horizontal="left" vertical="center" wrapText="1"/>
      <protection locked="0"/>
    </xf>
    <xf numFmtId="0" fontId="0" fillId="12" borderId="11" xfId="0" applyFill="1" applyBorder="1" applyAlignment="1" applyProtection="1">
      <alignment horizontal="left" vertical="center" wrapText="1"/>
      <protection locked="0"/>
    </xf>
    <xf numFmtId="0" fontId="0" fillId="12" borderId="13" xfId="0" applyFont="1" applyFill="1" applyBorder="1" applyAlignment="1" applyProtection="1">
      <alignment horizontal="left" vertical="center" wrapText="1"/>
      <protection locked="0"/>
    </xf>
    <xf numFmtId="0" fontId="0" fillId="12" borderId="3" xfId="0" applyFont="1" applyFill="1" applyBorder="1" applyAlignment="1" applyProtection="1">
      <alignment horizontal="left" vertical="top" wrapText="1"/>
      <protection locked="0"/>
    </xf>
    <xf numFmtId="0" fontId="1" fillId="12" borderId="13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left" vertical="center" wrapText="1"/>
      <protection locked="0"/>
    </xf>
    <xf numFmtId="0" fontId="1" fillId="12" borderId="13" xfId="0" applyFont="1" applyFill="1" applyBorder="1" applyAlignment="1" applyProtection="1">
      <alignment horizontal="left" vertical="center" wrapText="1"/>
      <protection locked="0"/>
    </xf>
    <xf numFmtId="0" fontId="1" fillId="12" borderId="17" xfId="0" applyFont="1" applyFill="1" applyBorder="1" applyAlignment="1" applyProtection="1">
      <alignment horizontal="left" vertical="center" wrapText="1"/>
      <protection locked="0"/>
    </xf>
    <xf numFmtId="0" fontId="0" fillId="12" borderId="1" xfId="0" applyFont="1" applyFill="1" applyBorder="1" applyAlignment="1" applyProtection="1">
      <alignment horizontal="left" vertical="top" wrapText="1"/>
      <protection locked="0"/>
    </xf>
    <xf numFmtId="0" fontId="1" fillId="12" borderId="1" xfId="0" applyFont="1" applyFill="1" applyBorder="1" applyAlignment="1" applyProtection="1">
      <alignment horizontal="left" vertical="top" wrapText="1"/>
      <protection locked="0"/>
    </xf>
    <xf numFmtId="0" fontId="1" fillId="12" borderId="15" xfId="0" applyFont="1" applyFill="1" applyBorder="1" applyAlignment="1" applyProtection="1">
      <alignment horizontal="center" vertical="center" wrapText="1"/>
      <protection locked="0"/>
    </xf>
    <xf numFmtId="0" fontId="1" fillId="12" borderId="16" xfId="0" applyFont="1" applyFill="1" applyBorder="1" applyAlignment="1" applyProtection="1">
      <alignment horizontal="left" vertical="center" wrapText="1"/>
      <protection locked="0"/>
    </xf>
    <xf numFmtId="0" fontId="1" fillId="12" borderId="15" xfId="0" applyFont="1" applyFill="1" applyBorder="1" applyAlignment="1" applyProtection="1">
      <alignment horizontal="left" vertical="center" wrapText="1"/>
      <protection locked="0"/>
    </xf>
    <xf numFmtId="0" fontId="1" fillId="12" borderId="2" xfId="0" applyFont="1" applyFill="1" applyBorder="1" applyAlignment="1" applyProtection="1">
      <alignment horizontal="left" vertical="top" wrapText="1"/>
      <protection locked="0"/>
    </xf>
    <xf numFmtId="0" fontId="0" fillId="0" borderId="11" xfId="0" applyFill="1" applyBorder="1" applyAlignment="1" applyProtection="1">
      <alignment horizontal="left" vertical="center" wrapText="1"/>
      <protection locked="0"/>
    </xf>
    <xf numFmtId="0" fontId="0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3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0" fillId="0" borderId="5" xfId="0" applyFont="1" applyFill="1" applyBorder="1" applyAlignment="1" applyProtection="1">
      <alignment horizontal="left" vertical="top" wrapText="1"/>
      <protection locked="0"/>
    </xf>
    <xf numFmtId="0" fontId="0" fillId="12" borderId="11" xfId="0" applyFont="1" applyFill="1" applyBorder="1" applyAlignment="1" applyProtection="1">
      <alignment horizontal="left" vertical="center" wrapText="1"/>
      <protection locked="0"/>
    </xf>
    <xf numFmtId="0" fontId="1" fillId="12" borderId="3" xfId="0" applyFont="1" applyFill="1" applyBorder="1" applyAlignment="1" applyProtection="1">
      <alignment horizontal="left" vertical="top" wrapText="1"/>
      <protection locked="0"/>
    </xf>
    <xf numFmtId="0" fontId="0" fillId="0" borderId="31" xfId="0" applyFont="1" applyFill="1" applyBorder="1" applyAlignment="1" applyProtection="1">
      <alignment horizontal="left" vertical="center" wrapText="1"/>
      <protection locked="0"/>
    </xf>
    <xf numFmtId="0" fontId="0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11" xfId="0" quotePrefix="1" applyFont="1" applyFill="1" applyBorder="1" applyAlignment="1" applyProtection="1">
      <alignment horizontal="left" vertical="center" wrapText="1"/>
      <protection locked="0"/>
    </xf>
    <xf numFmtId="0" fontId="0" fillId="0" borderId="4" xfId="0" applyFont="1" applyFill="1" applyBorder="1" applyAlignment="1" applyProtection="1">
      <alignment horizontal="left" vertical="top" wrapText="1"/>
      <protection locked="0"/>
    </xf>
    <xf numFmtId="0" fontId="23" fillId="0" borderId="0" xfId="0" applyFont="1"/>
    <xf numFmtId="0" fontId="0" fillId="6" borderId="11" xfId="0" applyFill="1" applyBorder="1" applyAlignment="1" applyProtection="1">
      <alignment horizontal="left" vertical="center" wrapText="1"/>
      <protection locked="0"/>
    </xf>
    <xf numFmtId="0" fontId="1" fillId="6" borderId="3" xfId="0" applyFont="1" applyFill="1" applyBorder="1" applyAlignment="1" applyProtection="1">
      <alignment horizontal="left" vertical="top" wrapText="1"/>
      <protection locked="0"/>
    </xf>
    <xf numFmtId="0" fontId="1" fillId="6" borderId="1" xfId="0" applyFont="1" applyFill="1" applyBorder="1" applyAlignment="1" applyProtection="1">
      <alignment horizontal="left" vertical="top" wrapText="1"/>
      <protection locked="0"/>
    </xf>
    <xf numFmtId="0" fontId="1" fillId="6" borderId="16" xfId="0" applyFont="1" applyFill="1" applyBorder="1" applyAlignment="1" applyProtection="1">
      <alignment horizontal="left" vertical="center" wrapText="1"/>
      <protection locked="0"/>
    </xf>
    <xf numFmtId="0" fontId="1" fillId="6" borderId="15" xfId="0" applyFont="1" applyFill="1" applyBorder="1" applyAlignment="1" applyProtection="1">
      <alignment horizontal="left" vertical="center" wrapText="1"/>
      <protection locked="0"/>
    </xf>
    <xf numFmtId="0" fontId="1" fillId="6" borderId="2" xfId="0" applyFont="1" applyFill="1" applyBorder="1" applyAlignment="1" applyProtection="1">
      <alignment horizontal="left" vertical="top" wrapText="1"/>
      <protection locked="0"/>
    </xf>
    <xf numFmtId="0" fontId="7" fillId="6" borderId="1" xfId="0" applyFont="1" applyFill="1" applyBorder="1" applyAlignment="1" applyProtection="1">
      <alignment horizontal="left" vertical="top" wrapText="1"/>
      <protection locked="0"/>
    </xf>
    <xf numFmtId="0" fontId="6" fillId="6" borderId="2" xfId="0" applyFont="1" applyFill="1" applyBorder="1" applyAlignment="1" applyProtection="1">
      <alignment horizontal="left" vertical="top" wrapText="1"/>
      <protection locked="0"/>
    </xf>
    <xf numFmtId="0" fontId="0" fillId="6" borderId="1" xfId="0" applyFont="1" applyFill="1" applyBorder="1" applyAlignment="1" applyProtection="1">
      <alignment horizontal="left" vertical="top" wrapText="1"/>
      <protection locked="0"/>
    </xf>
    <xf numFmtId="0" fontId="4" fillId="6" borderId="4" xfId="0" applyFont="1" applyFill="1" applyBorder="1" applyAlignment="1" applyProtection="1">
      <alignment horizontal="left" vertical="top" wrapText="1"/>
      <protection locked="0"/>
    </xf>
    <xf numFmtId="0" fontId="4" fillId="6" borderId="8" xfId="0" applyFont="1" applyFill="1" applyBorder="1" applyAlignment="1" applyProtection="1">
      <alignment horizontal="left" vertical="center" wrapText="1"/>
      <protection locked="0"/>
    </xf>
    <xf numFmtId="0" fontId="4" fillId="6" borderId="1" xfId="0" applyFont="1" applyFill="1" applyBorder="1" applyAlignment="1" applyProtection="1">
      <alignment horizontal="left" vertical="top" wrapText="1"/>
      <protection locked="0"/>
    </xf>
    <xf numFmtId="0" fontId="4" fillId="6" borderId="17" xfId="0" applyFont="1" applyFill="1" applyBorder="1" applyAlignment="1" applyProtection="1">
      <alignment horizontal="left" vertical="center" wrapText="1"/>
      <protection locked="0"/>
    </xf>
    <xf numFmtId="0" fontId="4" fillId="6" borderId="5" xfId="0" applyFont="1" applyFill="1" applyBorder="1" applyAlignment="1" applyProtection="1">
      <alignment horizontal="left" vertical="top" wrapText="1"/>
      <protection locked="0"/>
    </xf>
    <xf numFmtId="0" fontId="4" fillId="6" borderId="16" xfId="0" applyFont="1" applyFill="1" applyBorder="1" applyAlignment="1" applyProtection="1">
      <alignment horizontal="left" vertical="center" wrapText="1"/>
      <protection locked="0"/>
    </xf>
    <xf numFmtId="0" fontId="4" fillId="6" borderId="2" xfId="0" applyFont="1" applyFill="1" applyBorder="1" applyAlignment="1" applyProtection="1">
      <alignment horizontal="left" vertical="top" wrapText="1"/>
      <protection locked="0"/>
    </xf>
    <xf numFmtId="0" fontId="4" fillId="6" borderId="3" xfId="0" applyFont="1" applyFill="1" applyBorder="1" applyAlignment="1" applyProtection="1">
      <alignment horizontal="left" vertical="top" wrapText="1"/>
      <protection locked="0"/>
    </xf>
    <xf numFmtId="0" fontId="0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15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justify" vertical="top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justify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89"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133350</xdr:rowOff>
    </xdr:from>
    <xdr:to>
      <xdr:col>2</xdr:col>
      <xdr:colOff>1049536</xdr:colOff>
      <xdr:row>2</xdr:row>
      <xdr:rowOff>190500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133350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57150</xdr:rowOff>
    </xdr:from>
    <xdr:to>
      <xdr:col>2</xdr:col>
      <xdr:colOff>1163836</xdr:colOff>
      <xdr:row>2</xdr:row>
      <xdr:rowOff>95250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19075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152400</xdr:rowOff>
    </xdr:from>
    <xdr:to>
      <xdr:col>3</xdr:col>
      <xdr:colOff>639961</xdr:colOff>
      <xdr:row>2</xdr:row>
      <xdr:rowOff>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52400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J205"/>
  <sheetViews>
    <sheetView showGridLines="0" topLeftCell="A62" zoomScaleNormal="100" zoomScaleSheetLayoutView="100" workbookViewId="0">
      <selection activeCell="E78" sqref="E78:E87"/>
    </sheetView>
  </sheetViews>
  <sheetFormatPr defaultColWidth="11.42578125" defaultRowHeight="12.75" x14ac:dyDescent="0.2"/>
  <cols>
    <col min="1" max="1" width="5.7109375" style="42" customWidth="1"/>
    <col min="2" max="2" width="5" style="44" customWidth="1"/>
    <col min="3" max="3" width="21.140625" style="45" customWidth="1"/>
    <col min="4" max="4" width="19.140625" style="45" customWidth="1"/>
    <col min="5" max="6" width="19.85546875" style="46" customWidth="1"/>
    <col min="7" max="7" width="53.140625" style="45" customWidth="1"/>
    <col min="8" max="8" width="11.42578125" style="42" customWidth="1"/>
    <col min="9" max="9" width="15.85546875" style="42" hidden="1" customWidth="1"/>
    <col min="10" max="10" width="11.42578125" style="42" hidden="1" customWidth="1"/>
    <col min="11" max="16384" width="11.42578125" style="42"/>
  </cols>
  <sheetData>
    <row r="1" spans="2:9" s="41" customFormat="1" x14ac:dyDescent="0.2">
      <c r="B1" s="86"/>
      <c r="C1" s="87"/>
      <c r="D1" s="87"/>
      <c r="E1" s="88"/>
      <c r="F1" s="88"/>
      <c r="G1" s="87"/>
    </row>
    <row r="2" spans="2:9" s="41" customFormat="1" ht="20.25" x14ac:dyDescent="0.2">
      <c r="B2" s="141" t="s">
        <v>202</v>
      </c>
      <c r="C2" s="141"/>
      <c r="D2" s="141"/>
      <c r="E2" s="141"/>
      <c r="F2" s="141"/>
      <c r="G2" s="141"/>
    </row>
    <row r="3" spans="2:9" s="41" customFormat="1" ht="15.75" x14ac:dyDescent="0.25">
      <c r="B3" s="142" t="s">
        <v>203</v>
      </c>
      <c r="C3" s="142"/>
      <c r="D3" s="142"/>
      <c r="E3" s="142"/>
      <c r="F3" s="142"/>
      <c r="G3" s="142"/>
    </row>
    <row r="4" spans="2:9" s="41" customFormat="1" x14ac:dyDescent="0.2">
      <c r="B4" s="89"/>
      <c r="C4" s="90"/>
      <c r="D4" s="90"/>
      <c r="E4" s="91"/>
      <c r="F4" s="91"/>
      <c r="G4" s="90"/>
    </row>
    <row r="5" spans="2:9" s="41" customFormat="1" ht="13.5" thickBot="1" x14ac:dyDescent="0.25">
      <c r="B5" s="92"/>
      <c r="C5" s="92"/>
      <c r="D5" s="92"/>
      <c r="E5" s="92"/>
      <c r="F5" s="92"/>
      <c r="G5" s="92"/>
    </row>
    <row r="6" spans="2:9" s="41" customFormat="1" ht="30" customHeight="1" thickBot="1" x14ac:dyDescent="0.25">
      <c r="B6" s="143" t="s">
        <v>224</v>
      </c>
      <c r="C6" s="144"/>
      <c r="D6" s="144"/>
      <c r="E6" s="144"/>
      <c r="F6" s="144"/>
      <c r="G6" s="145"/>
    </row>
    <row r="7" spans="2:9" ht="26.25" thickBot="1" x14ac:dyDescent="0.25">
      <c r="B7" s="97" t="s">
        <v>226</v>
      </c>
      <c r="C7" s="99" t="s">
        <v>231</v>
      </c>
      <c r="D7" s="99" t="s">
        <v>23</v>
      </c>
      <c r="E7" s="99" t="s">
        <v>19</v>
      </c>
      <c r="F7" s="99" t="s">
        <v>204</v>
      </c>
      <c r="G7" s="98" t="s">
        <v>217</v>
      </c>
    </row>
    <row r="8" spans="2:9" ht="13.5" x14ac:dyDescent="0.25">
      <c r="B8" s="146">
        <v>1</v>
      </c>
      <c r="C8" s="223" t="s">
        <v>235</v>
      </c>
      <c r="D8" s="224" t="s">
        <v>210</v>
      </c>
      <c r="E8" s="224" t="s">
        <v>270</v>
      </c>
      <c r="F8" s="226" t="s">
        <v>236</v>
      </c>
      <c r="G8" s="227"/>
      <c r="I8" s="43" t="s">
        <v>210</v>
      </c>
    </row>
    <row r="9" spans="2:9" ht="13.5" x14ac:dyDescent="0.25">
      <c r="B9" s="134"/>
      <c r="C9" s="228"/>
      <c r="D9" s="229"/>
      <c r="E9" s="229"/>
      <c r="F9" s="230"/>
      <c r="G9" s="231"/>
      <c r="I9" s="43" t="s">
        <v>227</v>
      </c>
    </row>
    <row r="10" spans="2:9" ht="13.5" x14ac:dyDescent="0.25">
      <c r="B10" s="134"/>
      <c r="C10" s="228"/>
      <c r="D10" s="229"/>
      <c r="E10" s="229"/>
      <c r="F10" s="230"/>
      <c r="G10" s="231"/>
      <c r="I10" s="43" t="s">
        <v>228</v>
      </c>
    </row>
    <row r="11" spans="2:9" ht="13.5" x14ac:dyDescent="0.25">
      <c r="B11" s="134"/>
      <c r="C11" s="228"/>
      <c r="D11" s="229"/>
      <c r="E11" s="229"/>
      <c r="F11" s="230"/>
      <c r="G11" s="231"/>
      <c r="I11" s="43" t="s">
        <v>229</v>
      </c>
    </row>
    <row r="12" spans="2:9" ht="13.5" x14ac:dyDescent="0.25">
      <c r="B12" s="134"/>
      <c r="C12" s="228"/>
      <c r="D12" s="229"/>
      <c r="E12" s="229"/>
      <c r="F12" s="230"/>
      <c r="G12" s="232"/>
      <c r="I12" s="43" t="s">
        <v>230</v>
      </c>
    </row>
    <row r="13" spans="2:9" ht="13.5" x14ac:dyDescent="0.25">
      <c r="B13" s="134"/>
      <c r="C13" s="228"/>
      <c r="D13" s="229"/>
      <c r="E13" s="229"/>
      <c r="F13" s="230"/>
      <c r="G13" s="232"/>
      <c r="I13" s="43" t="s">
        <v>211</v>
      </c>
    </row>
    <row r="14" spans="2:9" ht="13.5" x14ac:dyDescent="0.25">
      <c r="B14" s="136"/>
      <c r="C14" s="228"/>
      <c r="D14" s="233"/>
      <c r="E14" s="233"/>
      <c r="F14" s="230"/>
      <c r="G14" s="234"/>
      <c r="I14" s="43" t="s">
        <v>212</v>
      </c>
    </row>
    <row r="15" spans="2:9" ht="13.5" x14ac:dyDescent="0.25">
      <c r="B15" s="136"/>
      <c r="C15" s="228"/>
      <c r="D15" s="233"/>
      <c r="E15" s="233"/>
      <c r="F15" s="230"/>
      <c r="G15" s="234"/>
      <c r="I15" s="43"/>
    </row>
    <row r="16" spans="2:9" x14ac:dyDescent="0.2">
      <c r="B16" s="136"/>
      <c r="C16" s="228"/>
      <c r="D16" s="233"/>
      <c r="E16" s="233"/>
      <c r="F16" s="230"/>
      <c r="G16" s="234"/>
    </row>
    <row r="17" spans="2:7" ht="13.5" thickBot="1" x14ac:dyDescent="0.25">
      <c r="B17" s="136"/>
      <c r="C17" s="235"/>
      <c r="D17" s="233"/>
      <c r="E17" s="233"/>
      <c r="F17" s="230"/>
      <c r="G17" s="234"/>
    </row>
    <row r="18" spans="2:7" x14ac:dyDescent="0.2">
      <c r="B18" s="152">
        <v>2</v>
      </c>
      <c r="C18" s="236" t="s">
        <v>235</v>
      </c>
      <c r="D18" s="140" t="s">
        <v>210</v>
      </c>
      <c r="E18" s="140" t="s">
        <v>237</v>
      </c>
      <c r="F18" s="153" t="s">
        <v>238</v>
      </c>
      <c r="G18" s="237"/>
    </row>
    <row r="19" spans="2:7" x14ac:dyDescent="0.2">
      <c r="B19" s="146"/>
      <c r="C19" s="238"/>
      <c r="D19" s="239"/>
      <c r="E19" s="239"/>
      <c r="F19" s="122"/>
      <c r="G19" s="104"/>
    </row>
    <row r="20" spans="2:7" x14ac:dyDescent="0.2">
      <c r="B20" s="146"/>
      <c r="C20" s="238"/>
      <c r="D20" s="239"/>
      <c r="E20" s="239"/>
      <c r="F20" s="122"/>
      <c r="G20" s="104"/>
    </row>
    <row r="21" spans="2:7" x14ac:dyDescent="0.2">
      <c r="B21" s="146"/>
      <c r="C21" s="238"/>
      <c r="D21" s="239"/>
      <c r="E21" s="239"/>
      <c r="F21" s="122"/>
      <c r="G21" s="104"/>
    </row>
    <row r="22" spans="2:7" x14ac:dyDescent="0.2">
      <c r="B22" s="146"/>
      <c r="C22" s="238"/>
      <c r="D22" s="239"/>
      <c r="E22" s="239"/>
      <c r="F22" s="122"/>
      <c r="G22" s="104"/>
    </row>
    <row r="23" spans="2:7" x14ac:dyDescent="0.2">
      <c r="B23" s="134"/>
      <c r="C23" s="238"/>
      <c r="D23" s="239"/>
      <c r="E23" s="239"/>
      <c r="F23" s="122"/>
      <c r="G23" s="105"/>
    </row>
    <row r="24" spans="2:7" x14ac:dyDescent="0.2">
      <c r="B24" s="134"/>
      <c r="C24" s="238"/>
      <c r="D24" s="240"/>
      <c r="E24" s="240"/>
      <c r="F24" s="122"/>
      <c r="G24" s="105"/>
    </row>
    <row r="25" spans="2:7" x14ac:dyDescent="0.2">
      <c r="B25" s="134"/>
      <c r="C25" s="238"/>
      <c r="D25" s="240"/>
      <c r="E25" s="240"/>
      <c r="F25" s="122"/>
      <c r="G25" s="105"/>
    </row>
    <row r="26" spans="2:7" x14ac:dyDescent="0.2">
      <c r="B26" s="136"/>
      <c r="C26" s="238"/>
      <c r="D26" s="240"/>
      <c r="E26" s="240"/>
      <c r="F26" s="122"/>
      <c r="G26" s="106"/>
    </row>
    <row r="27" spans="2:7" ht="13.5" thickBot="1" x14ac:dyDescent="0.25">
      <c r="B27" s="135"/>
      <c r="C27" s="241"/>
      <c r="D27" s="242"/>
      <c r="E27" s="242"/>
      <c r="F27" s="243"/>
      <c r="G27" s="244"/>
    </row>
    <row r="28" spans="2:7" x14ac:dyDescent="0.2">
      <c r="B28" s="147">
        <v>3</v>
      </c>
      <c r="C28" s="245" t="s">
        <v>235</v>
      </c>
      <c r="D28" s="246" t="s">
        <v>210</v>
      </c>
      <c r="E28" s="247" t="s">
        <v>239</v>
      </c>
      <c r="F28" s="248" t="s">
        <v>240</v>
      </c>
      <c r="G28" s="249"/>
    </row>
    <row r="29" spans="2:7" x14ac:dyDescent="0.2">
      <c r="B29" s="148"/>
      <c r="C29" s="250"/>
      <c r="D29" s="251"/>
      <c r="E29" s="251"/>
      <c r="F29" s="252"/>
      <c r="G29" s="249"/>
    </row>
    <row r="30" spans="2:7" x14ac:dyDescent="0.2">
      <c r="B30" s="148"/>
      <c r="C30" s="250"/>
      <c r="D30" s="251"/>
      <c r="E30" s="251"/>
      <c r="F30" s="252"/>
      <c r="G30" s="249"/>
    </row>
    <row r="31" spans="2:7" x14ac:dyDescent="0.2">
      <c r="B31" s="148"/>
      <c r="C31" s="250"/>
      <c r="D31" s="251"/>
      <c r="E31" s="251"/>
      <c r="F31" s="252"/>
      <c r="G31" s="249"/>
    </row>
    <row r="32" spans="2:7" x14ac:dyDescent="0.2">
      <c r="B32" s="148"/>
      <c r="C32" s="250"/>
      <c r="D32" s="251"/>
      <c r="E32" s="251"/>
      <c r="F32" s="252"/>
      <c r="G32" s="249"/>
    </row>
    <row r="33" spans="2:7" x14ac:dyDescent="0.2">
      <c r="B33" s="138"/>
      <c r="C33" s="250"/>
      <c r="D33" s="251"/>
      <c r="E33" s="251"/>
      <c r="F33" s="252"/>
      <c r="G33" s="249"/>
    </row>
    <row r="34" spans="2:7" x14ac:dyDescent="0.2">
      <c r="B34" s="138"/>
      <c r="C34" s="250"/>
      <c r="D34" s="253"/>
      <c r="E34" s="253"/>
      <c r="F34" s="252"/>
      <c r="G34" s="254"/>
    </row>
    <row r="35" spans="2:7" x14ac:dyDescent="0.2">
      <c r="B35" s="138"/>
      <c r="C35" s="250"/>
      <c r="D35" s="253"/>
      <c r="E35" s="253"/>
      <c r="F35" s="252"/>
      <c r="G35" s="255"/>
    </row>
    <row r="36" spans="2:7" x14ac:dyDescent="0.2">
      <c r="B36" s="138"/>
      <c r="C36" s="250"/>
      <c r="D36" s="253"/>
      <c r="E36" s="253"/>
      <c r="F36" s="252"/>
      <c r="G36" s="255"/>
    </row>
    <row r="37" spans="2:7" ht="13.5" thickBot="1" x14ac:dyDescent="0.25">
      <c r="B37" s="139"/>
      <c r="C37" s="256"/>
      <c r="D37" s="257"/>
      <c r="E37" s="257"/>
      <c r="F37" s="258"/>
      <c r="G37" s="259"/>
    </row>
    <row r="38" spans="2:7" x14ac:dyDescent="0.2">
      <c r="B38" s="149" t="s">
        <v>10</v>
      </c>
      <c r="C38" s="236" t="s">
        <v>235</v>
      </c>
      <c r="D38" s="127" t="s">
        <v>210</v>
      </c>
      <c r="E38" s="260" t="s">
        <v>241</v>
      </c>
      <c r="F38" s="261" t="s">
        <v>242</v>
      </c>
      <c r="G38" s="262"/>
    </row>
    <row r="39" spans="2:7" x14ac:dyDescent="0.2">
      <c r="B39" s="150"/>
      <c r="C39" s="238"/>
      <c r="D39" s="239"/>
      <c r="E39" s="239"/>
      <c r="F39" s="122"/>
      <c r="G39" s="262"/>
    </row>
    <row r="40" spans="2:7" x14ac:dyDescent="0.2">
      <c r="B40" s="150"/>
      <c r="C40" s="238"/>
      <c r="D40" s="239"/>
      <c r="E40" s="239"/>
      <c r="F40" s="122"/>
      <c r="G40" s="262"/>
    </row>
    <row r="41" spans="2:7" x14ac:dyDescent="0.2">
      <c r="B41" s="150"/>
      <c r="C41" s="238"/>
      <c r="D41" s="239"/>
      <c r="E41" s="239"/>
      <c r="F41" s="122"/>
      <c r="G41" s="262"/>
    </row>
    <row r="42" spans="2:7" x14ac:dyDescent="0.2">
      <c r="B42" s="150"/>
      <c r="C42" s="238"/>
      <c r="D42" s="239"/>
      <c r="E42" s="239"/>
      <c r="F42" s="122"/>
      <c r="G42" s="263"/>
    </row>
    <row r="43" spans="2:7" x14ac:dyDescent="0.2">
      <c r="B43" s="150"/>
      <c r="C43" s="238"/>
      <c r="D43" s="239"/>
      <c r="E43" s="239"/>
      <c r="F43" s="122"/>
      <c r="G43" s="263"/>
    </row>
    <row r="44" spans="2:7" x14ac:dyDescent="0.2">
      <c r="B44" s="150"/>
      <c r="C44" s="238"/>
      <c r="D44" s="240"/>
      <c r="E44" s="240"/>
      <c r="F44" s="122"/>
      <c r="G44" s="264"/>
    </row>
    <row r="45" spans="2:7" x14ac:dyDescent="0.2">
      <c r="B45" s="150"/>
      <c r="C45" s="238"/>
      <c r="D45" s="240"/>
      <c r="E45" s="240"/>
      <c r="F45" s="122"/>
      <c r="G45" s="264"/>
    </row>
    <row r="46" spans="2:7" x14ac:dyDescent="0.2">
      <c r="B46" s="150"/>
      <c r="C46" s="238"/>
      <c r="D46" s="240"/>
      <c r="E46" s="240"/>
      <c r="F46" s="122"/>
      <c r="G46" s="264"/>
    </row>
    <row r="47" spans="2:7" ht="13.5" thickBot="1" x14ac:dyDescent="0.25">
      <c r="B47" s="151"/>
      <c r="C47" s="241"/>
      <c r="D47" s="242"/>
      <c r="E47" s="242"/>
      <c r="F47" s="243"/>
      <c r="G47" s="244"/>
    </row>
    <row r="48" spans="2:7" x14ac:dyDescent="0.2">
      <c r="B48" s="137" t="s">
        <v>11</v>
      </c>
      <c r="C48" s="265" t="s">
        <v>235</v>
      </c>
      <c r="D48" s="246" t="s">
        <v>210</v>
      </c>
      <c r="E48" s="265" t="s">
        <v>243</v>
      </c>
      <c r="F48" s="248" t="s">
        <v>244</v>
      </c>
      <c r="G48" s="266"/>
    </row>
    <row r="49" spans="2:7" x14ac:dyDescent="0.2">
      <c r="B49" s="138"/>
      <c r="C49" s="251"/>
      <c r="D49" s="251"/>
      <c r="E49" s="251"/>
      <c r="F49" s="252"/>
      <c r="G49" s="266"/>
    </row>
    <row r="50" spans="2:7" x14ac:dyDescent="0.2">
      <c r="B50" s="138"/>
      <c r="C50" s="251"/>
      <c r="D50" s="251"/>
      <c r="E50" s="251"/>
      <c r="F50" s="252"/>
      <c r="G50" s="266"/>
    </row>
    <row r="51" spans="2:7" x14ac:dyDescent="0.2">
      <c r="B51" s="138"/>
      <c r="C51" s="251"/>
      <c r="D51" s="251"/>
      <c r="E51" s="251"/>
      <c r="F51" s="252"/>
      <c r="G51" s="266"/>
    </row>
    <row r="52" spans="2:7" x14ac:dyDescent="0.2">
      <c r="B52" s="138"/>
      <c r="C52" s="251"/>
      <c r="D52" s="251"/>
      <c r="E52" s="251"/>
      <c r="F52" s="252"/>
      <c r="G52" s="255"/>
    </row>
    <row r="53" spans="2:7" x14ac:dyDescent="0.2">
      <c r="B53" s="138"/>
      <c r="C53" s="251"/>
      <c r="D53" s="251"/>
      <c r="E53" s="251"/>
      <c r="F53" s="252"/>
      <c r="G53" s="255"/>
    </row>
    <row r="54" spans="2:7" x14ac:dyDescent="0.2">
      <c r="B54" s="138"/>
      <c r="C54" s="253"/>
      <c r="D54" s="253"/>
      <c r="E54" s="253"/>
      <c r="F54" s="252"/>
      <c r="G54" s="255"/>
    </row>
    <row r="55" spans="2:7" x14ac:dyDescent="0.2">
      <c r="B55" s="138"/>
      <c r="C55" s="253"/>
      <c r="D55" s="253"/>
      <c r="E55" s="253"/>
      <c r="F55" s="252"/>
      <c r="G55" s="255"/>
    </row>
    <row r="56" spans="2:7" x14ac:dyDescent="0.2">
      <c r="B56" s="138"/>
      <c r="C56" s="253"/>
      <c r="D56" s="253"/>
      <c r="E56" s="253"/>
      <c r="F56" s="252"/>
      <c r="G56" s="255"/>
    </row>
    <row r="57" spans="2:7" ht="13.5" thickBot="1" x14ac:dyDescent="0.25">
      <c r="B57" s="139"/>
      <c r="C57" s="257"/>
      <c r="D57" s="257"/>
      <c r="E57" s="257"/>
      <c r="F57" s="258"/>
      <c r="G57" s="259"/>
    </row>
    <row r="58" spans="2:7" x14ac:dyDescent="0.2">
      <c r="B58" s="137" t="s">
        <v>12</v>
      </c>
      <c r="C58" s="236" t="s">
        <v>235</v>
      </c>
      <c r="D58" s="153" t="s">
        <v>228</v>
      </c>
      <c r="E58" s="153" t="s">
        <v>245</v>
      </c>
      <c r="F58" s="267" t="s">
        <v>246</v>
      </c>
      <c r="G58" s="104"/>
    </row>
    <row r="59" spans="2:7" x14ac:dyDescent="0.2">
      <c r="B59" s="138"/>
      <c r="C59" s="289"/>
      <c r="D59" s="122"/>
      <c r="E59" s="122"/>
      <c r="F59" s="261"/>
      <c r="G59" s="105"/>
    </row>
    <row r="60" spans="2:7" x14ac:dyDescent="0.2">
      <c r="B60" s="138"/>
      <c r="C60" s="289"/>
      <c r="D60" s="122"/>
      <c r="E60" s="122"/>
      <c r="F60" s="261"/>
      <c r="G60" s="105"/>
    </row>
    <row r="61" spans="2:7" x14ac:dyDescent="0.2">
      <c r="B61" s="138"/>
      <c r="C61" s="289"/>
      <c r="D61" s="122"/>
      <c r="E61" s="122"/>
      <c r="F61" s="261"/>
      <c r="G61" s="105"/>
    </row>
    <row r="62" spans="2:7" x14ac:dyDescent="0.2">
      <c r="B62" s="138"/>
      <c r="C62" s="289"/>
      <c r="D62" s="122"/>
      <c r="E62" s="122"/>
      <c r="F62" s="261"/>
      <c r="G62" s="105"/>
    </row>
    <row r="63" spans="2:7" x14ac:dyDescent="0.2">
      <c r="B63" s="138"/>
      <c r="C63" s="289"/>
      <c r="D63" s="122"/>
      <c r="E63" s="122"/>
      <c r="F63" s="261"/>
      <c r="G63" s="51"/>
    </row>
    <row r="64" spans="2:7" x14ac:dyDescent="0.2">
      <c r="B64" s="138"/>
      <c r="C64" s="289"/>
      <c r="D64" s="122"/>
      <c r="E64" s="122"/>
      <c r="F64" s="261"/>
      <c r="G64" s="51"/>
    </row>
    <row r="65" spans="2:7" x14ac:dyDescent="0.2">
      <c r="B65" s="138"/>
      <c r="C65" s="289"/>
      <c r="D65" s="122"/>
      <c r="E65" s="122"/>
      <c r="F65" s="261"/>
      <c r="G65" s="51"/>
    </row>
    <row r="66" spans="2:7" x14ac:dyDescent="0.2">
      <c r="B66" s="138"/>
      <c r="C66" s="289"/>
      <c r="D66" s="122"/>
      <c r="E66" s="122"/>
      <c r="F66" s="261"/>
      <c r="G66" s="51"/>
    </row>
    <row r="67" spans="2:7" ht="13.5" thickBot="1" x14ac:dyDescent="0.25">
      <c r="B67" s="139"/>
      <c r="C67" s="290"/>
      <c r="D67" s="243"/>
      <c r="E67" s="243"/>
      <c r="F67" s="268"/>
      <c r="G67" s="52"/>
    </row>
    <row r="68" spans="2:7" x14ac:dyDescent="0.2">
      <c r="B68" s="133" t="s">
        <v>13</v>
      </c>
      <c r="C68" s="236" t="s">
        <v>247</v>
      </c>
      <c r="D68" s="127" t="s">
        <v>230</v>
      </c>
      <c r="E68" s="269" t="s">
        <v>248</v>
      </c>
      <c r="F68" s="261" t="s">
        <v>249</v>
      </c>
      <c r="G68" s="270"/>
    </row>
    <row r="69" spans="2:7" x14ac:dyDescent="0.2">
      <c r="B69" s="134"/>
      <c r="C69" s="238"/>
      <c r="D69" s="239"/>
      <c r="E69" s="239"/>
      <c r="F69" s="122"/>
      <c r="G69" s="263"/>
    </row>
    <row r="70" spans="2:7" x14ac:dyDescent="0.2">
      <c r="B70" s="134"/>
      <c r="C70" s="238"/>
      <c r="D70" s="239"/>
      <c r="E70" s="239"/>
      <c r="F70" s="122"/>
      <c r="G70" s="263"/>
    </row>
    <row r="71" spans="2:7" x14ac:dyDescent="0.2">
      <c r="B71" s="136"/>
      <c r="C71" s="238"/>
      <c r="D71" s="239"/>
      <c r="E71" s="239"/>
      <c r="F71" s="122"/>
      <c r="G71" s="263"/>
    </row>
    <row r="72" spans="2:7" x14ac:dyDescent="0.2">
      <c r="B72" s="136"/>
      <c r="C72" s="238"/>
      <c r="D72" s="239"/>
      <c r="E72" s="239"/>
      <c r="F72" s="122"/>
      <c r="G72" s="263"/>
    </row>
    <row r="73" spans="2:7" ht="16.5" x14ac:dyDescent="0.3">
      <c r="B73" s="136"/>
      <c r="C73" s="238"/>
      <c r="D73" s="239"/>
      <c r="E73" s="239"/>
      <c r="F73" s="122"/>
      <c r="G73" s="271"/>
    </row>
    <row r="74" spans="2:7" x14ac:dyDescent="0.2">
      <c r="B74" s="136"/>
      <c r="C74" s="238"/>
      <c r="D74" s="240"/>
      <c r="E74" s="240"/>
      <c r="F74" s="122"/>
      <c r="G74" s="105"/>
    </row>
    <row r="75" spans="2:7" x14ac:dyDescent="0.2">
      <c r="B75" s="136"/>
      <c r="C75" s="238"/>
      <c r="D75" s="240"/>
      <c r="E75" s="240"/>
      <c r="F75" s="122"/>
      <c r="G75" s="105"/>
    </row>
    <row r="76" spans="2:7" x14ac:dyDescent="0.2">
      <c r="B76" s="136"/>
      <c r="C76" s="238"/>
      <c r="D76" s="240"/>
      <c r="E76" s="240"/>
      <c r="F76" s="122"/>
      <c r="G76" s="105"/>
    </row>
    <row r="77" spans="2:7" ht="13.5" thickBot="1" x14ac:dyDescent="0.25">
      <c r="B77" s="135"/>
      <c r="C77" s="241"/>
      <c r="D77" s="242"/>
      <c r="E77" s="242"/>
      <c r="F77" s="243"/>
      <c r="G77" s="244"/>
    </row>
    <row r="78" spans="2:7" x14ac:dyDescent="0.2">
      <c r="B78" s="132" t="s">
        <v>14</v>
      </c>
      <c r="C78" s="223" t="s">
        <v>247</v>
      </c>
      <c r="D78" s="224" t="s">
        <v>210</v>
      </c>
      <c r="E78" s="272" t="s">
        <v>250</v>
      </c>
      <c r="F78" s="230" t="s">
        <v>251</v>
      </c>
      <c r="G78" s="273"/>
    </row>
    <row r="79" spans="2:7" x14ac:dyDescent="0.2">
      <c r="B79" s="134"/>
      <c r="C79" s="228"/>
      <c r="D79" s="229"/>
      <c r="E79" s="229"/>
      <c r="F79" s="230"/>
      <c r="G79" s="274"/>
    </row>
    <row r="80" spans="2:7" x14ac:dyDescent="0.2">
      <c r="B80" s="134"/>
      <c r="C80" s="228"/>
      <c r="D80" s="229"/>
      <c r="E80" s="229"/>
      <c r="F80" s="230"/>
      <c r="G80" s="274"/>
    </row>
    <row r="81" spans="2:7" x14ac:dyDescent="0.2">
      <c r="B81" s="134"/>
      <c r="C81" s="228"/>
      <c r="D81" s="229"/>
      <c r="E81" s="229"/>
      <c r="F81" s="230"/>
      <c r="G81" s="274"/>
    </row>
    <row r="82" spans="2:7" x14ac:dyDescent="0.2">
      <c r="B82" s="134"/>
      <c r="C82" s="228"/>
      <c r="D82" s="229"/>
      <c r="E82" s="229"/>
      <c r="F82" s="230"/>
      <c r="G82" s="274"/>
    </row>
    <row r="83" spans="2:7" x14ac:dyDescent="0.2">
      <c r="B83" s="134"/>
      <c r="C83" s="228"/>
      <c r="D83" s="229"/>
      <c r="E83" s="229"/>
      <c r="F83" s="230"/>
      <c r="G83" s="274"/>
    </row>
    <row r="84" spans="2:7" x14ac:dyDescent="0.2">
      <c r="B84" s="134"/>
      <c r="C84" s="228"/>
      <c r="D84" s="233"/>
      <c r="E84" s="233"/>
      <c r="F84" s="230"/>
      <c r="G84" s="274"/>
    </row>
    <row r="85" spans="2:7" x14ac:dyDescent="0.2">
      <c r="B85" s="136"/>
      <c r="C85" s="228"/>
      <c r="D85" s="233"/>
      <c r="E85" s="233"/>
      <c r="F85" s="230"/>
      <c r="G85" s="274"/>
    </row>
    <row r="86" spans="2:7" x14ac:dyDescent="0.2">
      <c r="B86" s="136"/>
      <c r="C86" s="228"/>
      <c r="D86" s="233"/>
      <c r="E86" s="233"/>
      <c r="F86" s="230"/>
      <c r="G86" s="274"/>
    </row>
    <row r="87" spans="2:7" ht="13.5" thickBot="1" x14ac:dyDescent="0.25">
      <c r="B87" s="135"/>
      <c r="C87" s="235"/>
      <c r="D87" s="275"/>
      <c r="E87" s="275"/>
      <c r="F87" s="276"/>
      <c r="G87" s="277"/>
    </row>
    <row r="88" spans="2:7" x14ac:dyDescent="0.2">
      <c r="B88" s="132" t="s">
        <v>15</v>
      </c>
      <c r="C88" s="224" t="s">
        <v>265</v>
      </c>
      <c r="D88" s="224" t="s">
        <v>227</v>
      </c>
      <c r="E88" s="224" t="s">
        <v>263</v>
      </c>
      <c r="F88" s="230" t="s">
        <v>264</v>
      </c>
      <c r="G88" s="273"/>
    </row>
    <row r="89" spans="2:7" x14ac:dyDescent="0.2">
      <c r="B89" s="133"/>
      <c r="C89" s="229"/>
      <c r="D89" s="229"/>
      <c r="E89" s="229"/>
      <c r="F89" s="230"/>
      <c r="G89" s="274"/>
    </row>
    <row r="90" spans="2:7" x14ac:dyDescent="0.2">
      <c r="B90" s="133"/>
      <c r="C90" s="229"/>
      <c r="D90" s="229"/>
      <c r="E90" s="229"/>
      <c r="F90" s="230"/>
      <c r="G90" s="274"/>
    </row>
    <row r="91" spans="2:7" ht="16.5" x14ac:dyDescent="0.3">
      <c r="B91" s="134"/>
      <c r="C91" s="229"/>
      <c r="D91" s="229"/>
      <c r="E91" s="229"/>
      <c r="F91" s="230"/>
      <c r="G91" s="271"/>
    </row>
    <row r="92" spans="2:7" x14ac:dyDescent="0.2">
      <c r="B92" s="134"/>
      <c r="C92" s="229"/>
      <c r="D92" s="229"/>
      <c r="E92" s="229"/>
      <c r="F92" s="230"/>
      <c r="G92" s="274"/>
    </row>
    <row r="93" spans="2:7" x14ac:dyDescent="0.2">
      <c r="B93" s="134"/>
      <c r="C93" s="229"/>
      <c r="D93" s="229"/>
      <c r="E93" s="229"/>
      <c r="F93" s="230"/>
      <c r="G93" s="274"/>
    </row>
    <row r="94" spans="2:7" x14ac:dyDescent="0.2">
      <c r="B94" s="134"/>
      <c r="C94" s="233"/>
      <c r="D94" s="233"/>
      <c r="E94" s="233"/>
      <c r="F94" s="230"/>
      <c r="G94" s="274"/>
    </row>
    <row r="95" spans="2:7" x14ac:dyDescent="0.2">
      <c r="B95" s="136"/>
      <c r="C95" s="233"/>
      <c r="D95" s="233"/>
      <c r="E95" s="233"/>
      <c r="F95" s="230"/>
      <c r="G95" s="274"/>
    </row>
    <row r="96" spans="2:7" x14ac:dyDescent="0.2">
      <c r="B96" s="136"/>
      <c r="C96" s="233"/>
      <c r="D96" s="233"/>
      <c r="E96" s="233"/>
      <c r="F96" s="230"/>
      <c r="G96" s="274"/>
    </row>
    <row r="97" spans="2:7" ht="13.5" thickBot="1" x14ac:dyDescent="0.25">
      <c r="B97" s="135"/>
      <c r="C97" s="275"/>
      <c r="D97" s="275"/>
      <c r="E97" s="275"/>
      <c r="F97" s="276"/>
      <c r="G97" s="277"/>
    </row>
    <row r="98" spans="2:7" x14ac:dyDescent="0.2">
      <c r="B98" s="133" t="s">
        <v>0</v>
      </c>
      <c r="C98" s="225" t="s">
        <v>252</v>
      </c>
      <c r="D98" s="224" t="s">
        <v>227</v>
      </c>
      <c r="E98" s="225" t="s">
        <v>253</v>
      </c>
      <c r="F98" s="230" t="s">
        <v>254</v>
      </c>
      <c r="G98" s="273"/>
    </row>
    <row r="99" spans="2:7" x14ac:dyDescent="0.2">
      <c r="B99" s="133"/>
      <c r="C99" s="229"/>
      <c r="D99" s="229"/>
      <c r="E99" s="229"/>
      <c r="F99" s="230"/>
      <c r="G99" s="274"/>
    </row>
    <row r="100" spans="2:7" x14ac:dyDescent="0.2">
      <c r="B100" s="133"/>
      <c r="C100" s="229"/>
      <c r="D100" s="229"/>
      <c r="E100" s="229"/>
      <c r="F100" s="230"/>
      <c r="G100" s="274"/>
    </row>
    <row r="101" spans="2:7" x14ac:dyDescent="0.2">
      <c r="B101" s="133"/>
      <c r="C101" s="229"/>
      <c r="D101" s="229"/>
      <c r="E101" s="229"/>
      <c r="F101" s="230"/>
      <c r="G101" s="274"/>
    </row>
    <row r="102" spans="2:7" x14ac:dyDescent="0.2">
      <c r="B102" s="133"/>
      <c r="C102" s="229"/>
      <c r="D102" s="229"/>
      <c r="E102" s="229"/>
      <c r="F102" s="230"/>
      <c r="G102" s="274"/>
    </row>
    <row r="103" spans="2:7" x14ac:dyDescent="0.2">
      <c r="B103" s="134"/>
      <c r="C103" s="229"/>
      <c r="D103" s="229"/>
      <c r="E103" s="229"/>
      <c r="F103" s="230"/>
      <c r="G103" s="278"/>
    </row>
    <row r="104" spans="2:7" x14ac:dyDescent="0.2">
      <c r="B104" s="134"/>
      <c r="C104" s="233"/>
      <c r="D104" s="233"/>
      <c r="E104" s="233"/>
      <c r="F104" s="230"/>
      <c r="G104" s="278"/>
    </row>
    <row r="105" spans="2:7" x14ac:dyDescent="0.2">
      <c r="B105" s="134"/>
      <c r="C105" s="233"/>
      <c r="D105" s="233"/>
      <c r="E105" s="233"/>
      <c r="F105" s="230"/>
      <c r="G105" s="278"/>
    </row>
    <row r="106" spans="2:7" x14ac:dyDescent="0.2">
      <c r="B106" s="134"/>
      <c r="C106" s="233"/>
      <c r="D106" s="233"/>
      <c r="E106" s="233"/>
      <c r="F106" s="230"/>
      <c r="G106" s="278"/>
    </row>
    <row r="107" spans="2:7" ht="13.5" thickBot="1" x14ac:dyDescent="0.25">
      <c r="B107" s="135"/>
      <c r="C107" s="275"/>
      <c r="D107" s="275"/>
      <c r="E107" s="275"/>
      <c r="F107" s="276"/>
      <c r="G107" s="279"/>
    </row>
    <row r="108" spans="2:7" x14ac:dyDescent="0.2">
      <c r="B108" s="133" t="s">
        <v>1</v>
      </c>
      <c r="C108" s="225" t="s">
        <v>252</v>
      </c>
      <c r="D108" s="224" t="s">
        <v>211</v>
      </c>
      <c r="E108" s="225" t="s">
        <v>255</v>
      </c>
      <c r="F108" s="226"/>
      <c r="G108" s="273"/>
    </row>
    <row r="109" spans="2:7" x14ac:dyDescent="0.2">
      <c r="B109" s="134"/>
      <c r="C109" s="229"/>
      <c r="D109" s="229"/>
      <c r="E109" s="229"/>
      <c r="F109" s="230"/>
      <c r="G109" s="274"/>
    </row>
    <row r="110" spans="2:7" x14ac:dyDescent="0.2">
      <c r="B110" s="134"/>
      <c r="C110" s="229"/>
      <c r="D110" s="229"/>
      <c r="E110" s="229"/>
      <c r="F110" s="230"/>
      <c r="G110" s="274"/>
    </row>
    <row r="111" spans="2:7" x14ac:dyDescent="0.2">
      <c r="B111" s="134"/>
      <c r="C111" s="229"/>
      <c r="D111" s="229"/>
      <c r="E111" s="229"/>
      <c r="F111" s="230"/>
      <c r="G111" s="274"/>
    </row>
    <row r="112" spans="2:7" x14ac:dyDescent="0.2">
      <c r="B112" s="134"/>
      <c r="C112" s="229"/>
      <c r="D112" s="229"/>
      <c r="E112" s="229"/>
      <c r="F112" s="230"/>
      <c r="G112" s="274"/>
    </row>
    <row r="113" spans="2:7" x14ac:dyDescent="0.2">
      <c r="B113" s="134"/>
      <c r="C113" s="229"/>
      <c r="D113" s="229"/>
      <c r="E113" s="229"/>
      <c r="F113" s="230"/>
      <c r="G113" s="278"/>
    </row>
    <row r="114" spans="2:7" x14ac:dyDescent="0.2">
      <c r="B114" s="134"/>
      <c r="C114" s="233"/>
      <c r="D114" s="233"/>
      <c r="E114" s="233"/>
      <c r="F114" s="230"/>
      <c r="G114" s="278"/>
    </row>
    <row r="115" spans="2:7" x14ac:dyDescent="0.2">
      <c r="B115" s="134"/>
      <c r="C115" s="233"/>
      <c r="D115" s="233"/>
      <c r="E115" s="233"/>
      <c r="F115" s="230"/>
      <c r="G115" s="278"/>
    </row>
    <row r="116" spans="2:7" x14ac:dyDescent="0.2">
      <c r="B116" s="136"/>
      <c r="C116" s="233"/>
      <c r="D116" s="233"/>
      <c r="E116" s="233"/>
      <c r="F116" s="230"/>
      <c r="G116" s="278"/>
    </row>
    <row r="117" spans="2:7" ht="13.5" thickBot="1" x14ac:dyDescent="0.25">
      <c r="B117" s="136"/>
      <c r="C117" s="275"/>
      <c r="D117" s="275"/>
      <c r="E117" s="275"/>
      <c r="F117" s="276"/>
      <c r="G117" s="279"/>
    </row>
    <row r="118" spans="2:7" x14ac:dyDescent="0.2">
      <c r="B118" s="132" t="s">
        <v>2</v>
      </c>
      <c r="C118" s="225" t="s">
        <v>256</v>
      </c>
      <c r="D118" s="224" t="s">
        <v>211</v>
      </c>
      <c r="E118" s="224" t="s">
        <v>257</v>
      </c>
      <c r="F118" s="230" t="s">
        <v>266</v>
      </c>
      <c r="G118" s="273"/>
    </row>
    <row r="119" spans="2:7" x14ac:dyDescent="0.2">
      <c r="B119" s="133"/>
      <c r="C119" s="229"/>
      <c r="D119" s="229"/>
      <c r="E119" s="229"/>
      <c r="F119" s="230"/>
      <c r="G119" s="280"/>
    </row>
    <row r="120" spans="2:7" x14ac:dyDescent="0.2">
      <c r="B120" s="134"/>
      <c r="C120" s="229"/>
      <c r="D120" s="229"/>
      <c r="E120" s="229"/>
      <c r="F120" s="230"/>
      <c r="G120" s="280"/>
    </row>
    <row r="121" spans="2:7" x14ac:dyDescent="0.2">
      <c r="B121" s="134"/>
      <c r="C121" s="229"/>
      <c r="D121" s="229"/>
      <c r="E121" s="229"/>
      <c r="F121" s="230"/>
      <c r="G121" s="274"/>
    </row>
    <row r="122" spans="2:7" x14ac:dyDescent="0.2">
      <c r="B122" s="134"/>
      <c r="C122" s="229"/>
      <c r="D122" s="229"/>
      <c r="E122" s="229"/>
      <c r="F122" s="230"/>
      <c r="G122" s="274"/>
    </row>
    <row r="123" spans="2:7" x14ac:dyDescent="0.2">
      <c r="B123" s="134"/>
      <c r="C123" s="229"/>
      <c r="D123" s="229"/>
      <c r="E123" s="229"/>
      <c r="F123" s="230"/>
      <c r="G123" s="278"/>
    </row>
    <row r="124" spans="2:7" x14ac:dyDescent="0.2">
      <c r="B124" s="134"/>
      <c r="C124" s="233"/>
      <c r="D124" s="233"/>
      <c r="E124" s="233"/>
      <c r="F124" s="230"/>
      <c r="G124" s="278"/>
    </row>
    <row r="125" spans="2:7" x14ac:dyDescent="0.2">
      <c r="B125" s="136"/>
      <c r="C125" s="233"/>
      <c r="D125" s="233"/>
      <c r="E125" s="233"/>
      <c r="F125" s="230"/>
      <c r="G125" s="278"/>
    </row>
    <row r="126" spans="2:7" x14ac:dyDescent="0.2">
      <c r="B126" s="136"/>
      <c r="C126" s="233"/>
      <c r="D126" s="233"/>
      <c r="E126" s="233"/>
      <c r="F126" s="230"/>
      <c r="G126" s="278"/>
    </row>
    <row r="127" spans="2:7" ht="13.5" thickBot="1" x14ac:dyDescent="0.25">
      <c r="B127" s="135"/>
      <c r="C127" s="275"/>
      <c r="D127" s="275"/>
      <c r="E127" s="275"/>
      <c r="F127" s="276"/>
      <c r="G127" s="279"/>
    </row>
    <row r="128" spans="2:7" x14ac:dyDescent="0.2">
      <c r="B128" s="132" t="s">
        <v>3</v>
      </c>
      <c r="C128" s="224" t="s">
        <v>258</v>
      </c>
      <c r="D128" s="224" t="s">
        <v>230</v>
      </c>
      <c r="E128" s="225" t="s">
        <v>259</v>
      </c>
      <c r="F128" s="226" t="s">
        <v>260</v>
      </c>
      <c r="G128" s="281"/>
    </row>
    <row r="129" spans="2:7" x14ac:dyDescent="0.2">
      <c r="B129" s="134"/>
      <c r="C129" s="282"/>
      <c r="D129" s="229"/>
      <c r="E129" s="229"/>
      <c r="F129" s="230"/>
      <c r="G129" s="283"/>
    </row>
    <row r="130" spans="2:7" x14ac:dyDescent="0.2">
      <c r="B130" s="134"/>
      <c r="C130" s="282"/>
      <c r="D130" s="229"/>
      <c r="E130" s="229"/>
      <c r="F130" s="230"/>
      <c r="G130" s="283"/>
    </row>
    <row r="131" spans="2:7" x14ac:dyDescent="0.2">
      <c r="B131" s="134"/>
      <c r="C131" s="282"/>
      <c r="D131" s="229"/>
      <c r="E131" s="229"/>
      <c r="F131" s="230"/>
      <c r="G131" s="283"/>
    </row>
    <row r="132" spans="2:7" x14ac:dyDescent="0.2">
      <c r="B132" s="134"/>
      <c r="C132" s="282"/>
      <c r="D132" s="229"/>
      <c r="E132" s="229"/>
      <c r="F132" s="230"/>
      <c r="G132" s="283"/>
    </row>
    <row r="133" spans="2:7" x14ac:dyDescent="0.2">
      <c r="B133" s="134"/>
      <c r="C133" s="282"/>
      <c r="D133" s="229"/>
      <c r="E133" s="229"/>
      <c r="F133" s="230"/>
      <c r="G133" s="283"/>
    </row>
    <row r="134" spans="2:7" x14ac:dyDescent="0.2">
      <c r="B134" s="134"/>
      <c r="C134" s="284"/>
      <c r="D134" s="233"/>
      <c r="E134" s="233"/>
      <c r="F134" s="230"/>
      <c r="G134" s="283"/>
    </row>
    <row r="135" spans="2:7" x14ac:dyDescent="0.2">
      <c r="B135" s="134"/>
      <c r="C135" s="284"/>
      <c r="D135" s="233"/>
      <c r="E135" s="233"/>
      <c r="F135" s="230"/>
      <c r="G135" s="283"/>
    </row>
    <row r="136" spans="2:7" x14ac:dyDescent="0.2">
      <c r="B136" s="136"/>
      <c r="C136" s="284"/>
      <c r="D136" s="233"/>
      <c r="E136" s="233"/>
      <c r="F136" s="230"/>
      <c r="G136" s="285"/>
    </row>
    <row r="137" spans="2:7" ht="13.5" thickBot="1" x14ac:dyDescent="0.25">
      <c r="B137" s="135"/>
      <c r="C137" s="286"/>
      <c r="D137" s="275"/>
      <c r="E137" s="275"/>
      <c r="F137" s="276"/>
      <c r="G137" s="287"/>
    </row>
    <row r="138" spans="2:7" x14ac:dyDescent="0.2">
      <c r="B138" s="133" t="s">
        <v>4</v>
      </c>
      <c r="C138" s="224" t="s">
        <v>258</v>
      </c>
      <c r="D138" s="224" t="s">
        <v>212</v>
      </c>
      <c r="E138" s="225" t="s">
        <v>261</v>
      </c>
      <c r="F138" s="226" t="s">
        <v>262</v>
      </c>
      <c r="G138" s="288"/>
    </row>
    <row r="139" spans="2:7" x14ac:dyDescent="0.2">
      <c r="B139" s="134"/>
      <c r="C139" s="282"/>
      <c r="D139" s="229"/>
      <c r="E139" s="229"/>
      <c r="F139" s="230"/>
      <c r="G139" s="283"/>
    </row>
    <row r="140" spans="2:7" x14ac:dyDescent="0.2">
      <c r="B140" s="134"/>
      <c r="C140" s="282"/>
      <c r="D140" s="229"/>
      <c r="E140" s="229"/>
      <c r="F140" s="230"/>
      <c r="G140" s="283"/>
    </row>
    <row r="141" spans="2:7" x14ac:dyDescent="0.2">
      <c r="B141" s="134"/>
      <c r="C141" s="282"/>
      <c r="D141" s="229"/>
      <c r="E141" s="229"/>
      <c r="F141" s="230"/>
      <c r="G141" s="283"/>
    </row>
    <row r="142" spans="2:7" x14ac:dyDescent="0.2">
      <c r="B142" s="134"/>
      <c r="C142" s="282"/>
      <c r="D142" s="229"/>
      <c r="E142" s="229"/>
      <c r="F142" s="230"/>
      <c r="G142" s="283"/>
    </row>
    <row r="143" spans="2:7" x14ac:dyDescent="0.2">
      <c r="B143" s="134"/>
      <c r="C143" s="282"/>
      <c r="D143" s="229"/>
      <c r="E143" s="229"/>
      <c r="F143" s="230"/>
      <c r="G143" s="283"/>
    </row>
    <row r="144" spans="2:7" x14ac:dyDescent="0.2">
      <c r="B144" s="134"/>
      <c r="C144" s="284"/>
      <c r="D144" s="233"/>
      <c r="E144" s="233"/>
      <c r="F144" s="230"/>
      <c r="G144" s="283"/>
    </row>
    <row r="145" spans="2:7" x14ac:dyDescent="0.2">
      <c r="B145" s="134"/>
      <c r="C145" s="284"/>
      <c r="D145" s="233"/>
      <c r="E145" s="233"/>
      <c r="F145" s="230"/>
      <c r="G145" s="283"/>
    </row>
    <row r="146" spans="2:7" x14ac:dyDescent="0.2">
      <c r="B146" s="134"/>
      <c r="C146" s="284"/>
      <c r="D146" s="233"/>
      <c r="E146" s="233"/>
      <c r="F146" s="230"/>
      <c r="G146" s="283"/>
    </row>
    <row r="147" spans="2:7" ht="13.5" thickBot="1" x14ac:dyDescent="0.25">
      <c r="B147" s="136"/>
      <c r="C147" s="286"/>
      <c r="D147" s="275"/>
      <c r="E147" s="275"/>
      <c r="F147" s="276"/>
      <c r="G147" s="287"/>
    </row>
    <row r="148" spans="2:7" x14ac:dyDescent="0.2">
      <c r="B148" s="132" t="s">
        <v>5</v>
      </c>
      <c r="C148" s="128"/>
      <c r="D148" s="128"/>
      <c r="E148" s="123"/>
      <c r="F148" s="120"/>
      <c r="G148" s="47"/>
    </row>
    <row r="149" spans="2:7" x14ac:dyDescent="0.2">
      <c r="B149" s="134"/>
      <c r="C149" s="129"/>
      <c r="D149" s="129"/>
      <c r="E149" s="124"/>
      <c r="F149" s="120"/>
      <c r="G149" s="48"/>
    </row>
    <row r="150" spans="2:7" x14ac:dyDescent="0.2">
      <c r="B150" s="134"/>
      <c r="C150" s="129"/>
      <c r="D150" s="129"/>
      <c r="E150" s="124"/>
      <c r="F150" s="120"/>
      <c r="G150" s="48"/>
    </row>
    <row r="151" spans="2:7" x14ac:dyDescent="0.2">
      <c r="B151" s="134"/>
      <c r="C151" s="129"/>
      <c r="D151" s="129"/>
      <c r="E151" s="124"/>
      <c r="F151" s="120"/>
      <c r="G151" s="48"/>
    </row>
    <row r="152" spans="2:7" x14ac:dyDescent="0.2">
      <c r="B152" s="134"/>
      <c r="C152" s="129"/>
      <c r="D152" s="129"/>
      <c r="E152" s="124"/>
      <c r="F152" s="120"/>
      <c r="G152" s="48"/>
    </row>
    <row r="153" spans="2:7" x14ac:dyDescent="0.2">
      <c r="B153" s="134"/>
      <c r="C153" s="129"/>
      <c r="D153" s="129"/>
      <c r="E153" s="124"/>
      <c r="F153" s="120"/>
      <c r="G153" s="48"/>
    </row>
    <row r="154" spans="2:7" x14ac:dyDescent="0.2">
      <c r="B154" s="134"/>
      <c r="C154" s="130"/>
      <c r="D154" s="130"/>
      <c r="E154" s="125"/>
      <c r="F154" s="120"/>
      <c r="G154" s="48"/>
    </row>
    <row r="155" spans="2:7" x14ac:dyDescent="0.2">
      <c r="B155" s="134"/>
      <c r="C155" s="130"/>
      <c r="D155" s="130"/>
      <c r="E155" s="125"/>
      <c r="F155" s="120"/>
      <c r="G155" s="48"/>
    </row>
    <row r="156" spans="2:7" x14ac:dyDescent="0.2">
      <c r="B156" s="134"/>
      <c r="C156" s="130"/>
      <c r="D156" s="130"/>
      <c r="E156" s="125"/>
      <c r="F156" s="120"/>
      <c r="G156" s="48"/>
    </row>
    <row r="157" spans="2:7" ht="13.5" thickBot="1" x14ac:dyDescent="0.25">
      <c r="B157" s="135"/>
      <c r="C157" s="131"/>
      <c r="D157" s="131"/>
      <c r="E157" s="126"/>
      <c r="F157" s="121"/>
      <c r="G157" s="50"/>
    </row>
    <row r="158" spans="2:7" x14ac:dyDescent="0.2">
      <c r="B158" s="132" t="s">
        <v>6</v>
      </c>
      <c r="C158" s="128"/>
      <c r="D158" s="128"/>
      <c r="E158" s="123"/>
      <c r="F158" s="120"/>
      <c r="G158" s="47"/>
    </row>
    <row r="159" spans="2:7" x14ac:dyDescent="0.2">
      <c r="B159" s="134"/>
      <c r="C159" s="129"/>
      <c r="D159" s="129"/>
      <c r="E159" s="124"/>
      <c r="F159" s="120"/>
      <c r="G159" s="48"/>
    </row>
    <row r="160" spans="2:7" x14ac:dyDescent="0.2">
      <c r="B160" s="134"/>
      <c r="C160" s="129"/>
      <c r="D160" s="129"/>
      <c r="E160" s="124"/>
      <c r="F160" s="120"/>
      <c r="G160" s="48"/>
    </row>
    <row r="161" spans="2:7" x14ac:dyDescent="0.2">
      <c r="B161" s="134"/>
      <c r="C161" s="129"/>
      <c r="D161" s="129"/>
      <c r="E161" s="124"/>
      <c r="F161" s="120"/>
      <c r="G161" s="48"/>
    </row>
    <row r="162" spans="2:7" x14ac:dyDescent="0.2">
      <c r="B162" s="134"/>
      <c r="C162" s="129"/>
      <c r="D162" s="129"/>
      <c r="E162" s="124"/>
      <c r="F162" s="120"/>
      <c r="G162" s="48"/>
    </row>
    <row r="163" spans="2:7" x14ac:dyDescent="0.2">
      <c r="B163" s="134"/>
      <c r="C163" s="129"/>
      <c r="D163" s="129"/>
      <c r="E163" s="124"/>
      <c r="F163" s="120"/>
      <c r="G163" s="48"/>
    </row>
    <row r="164" spans="2:7" x14ac:dyDescent="0.2">
      <c r="B164" s="134"/>
      <c r="C164" s="130"/>
      <c r="D164" s="130"/>
      <c r="E164" s="125"/>
      <c r="F164" s="120"/>
      <c r="G164" s="48"/>
    </row>
    <row r="165" spans="2:7" x14ac:dyDescent="0.2">
      <c r="B165" s="134"/>
      <c r="C165" s="130"/>
      <c r="D165" s="130"/>
      <c r="E165" s="125"/>
      <c r="F165" s="120"/>
      <c r="G165" s="48"/>
    </row>
    <row r="166" spans="2:7" x14ac:dyDescent="0.2">
      <c r="B166" s="136"/>
      <c r="C166" s="130"/>
      <c r="D166" s="130"/>
      <c r="E166" s="125"/>
      <c r="F166" s="120"/>
      <c r="G166" s="49"/>
    </row>
    <row r="167" spans="2:7" ht="13.5" thickBot="1" x14ac:dyDescent="0.25">
      <c r="B167" s="135"/>
      <c r="C167" s="131"/>
      <c r="D167" s="131"/>
      <c r="E167" s="126"/>
      <c r="F167" s="121"/>
      <c r="G167" s="50"/>
    </row>
    <row r="168" spans="2:7" x14ac:dyDescent="0.2">
      <c r="B168" s="137" t="s">
        <v>7</v>
      </c>
      <c r="C168" s="128"/>
      <c r="D168" s="128"/>
      <c r="E168" s="123"/>
      <c r="F168" s="120"/>
      <c r="G168" s="47"/>
    </row>
    <row r="169" spans="2:7" x14ac:dyDescent="0.2">
      <c r="B169" s="138"/>
      <c r="C169" s="129"/>
      <c r="D169" s="129"/>
      <c r="E169" s="124"/>
      <c r="F169" s="120"/>
      <c r="G169" s="48"/>
    </row>
    <row r="170" spans="2:7" x14ac:dyDescent="0.2">
      <c r="B170" s="138"/>
      <c r="C170" s="129"/>
      <c r="D170" s="129"/>
      <c r="E170" s="124"/>
      <c r="F170" s="120"/>
      <c r="G170" s="48"/>
    </row>
    <row r="171" spans="2:7" x14ac:dyDescent="0.2">
      <c r="B171" s="138"/>
      <c r="C171" s="129"/>
      <c r="D171" s="129"/>
      <c r="E171" s="124"/>
      <c r="F171" s="120"/>
      <c r="G171" s="48"/>
    </row>
    <row r="172" spans="2:7" x14ac:dyDescent="0.2">
      <c r="B172" s="138"/>
      <c r="C172" s="129"/>
      <c r="D172" s="129"/>
      <c r="E172" s="124"/>
      <c r="F172" s="120"/>
      <c r="G172" s="48"/>
    </row>
    <row r="173" spans="2:7" x14ac:dyDescent="0.2">
      <c r="B173" s="138"/>
      <c r="C173" s="129"/>
      <c r="D173" s="129"/>
      <c r="E173" s="124"/>
      <c r="F173" s="120"/>
      <c r="G173" s="48"/>
    </row>
    <row r="174" spans="2:7" x14ac:dyDescent="0.2">
      <c r="B174" s="138"/>
      <c r="C174" s="130"/>
      <c r="D174" s="130"/>
      <c r="E174" s="125"/>
      <c r="F174" s="120"/>
      <c r="G174" s="48"/>
    </row>
    <row r="175" spans="2:7" x14ac:dyDescent="0.2">
      <c r="B175" s="138"/>
      <c r="C175" s="130"/>
      <c r="D175" s="130"/>
      <c r="E175" s="125"/>
      <c r="F175" s="120"/>
      <c r="G175" s="48"/>
    </row>
    <row r="176" spans="2:7" x14ac:dyDescent="0.2">
      <c r="B176" s="138"/>
      <c r="C176" s="130"/>
      <c r="D176" s="130"/>
      <c r="E176" s="125"/>
      <c r="F176" s="120"/>
      <c r="G176" s="48"/>
    </row>
    <row r="177" spans="1:7" ht="13.5" thickBot="1" x14ac:dyDescent="0.25">
      <c r="B177" s="139"/>
      <c r="C177" s="131"/>
      <c r="D177" s="131"/>
      <c r="E177" s="126"/>
      <c r="F177" s="121"/>
      <c r="G177" s="50"/>
    </row>
    <row r="178" spans="1:7" x14ac:dyDescent="0.2">
      <c r="B178" s="132" t="s">
        <v>8</v>
      </c>
      <c r="C178" s="128"/>
      <c r="D178" s="128"/>
      <c r="E178" s="123"/>
      <c r="F178" s="120"/>
      <c r="G178" s="47"/>
    </row>
    <row r="179" spans="1:7" x14ac:dyDescent="0.2">
      <c r="B179" s="133"/>
      <c r="C179" s="129"/>
      <c r="D179" s="129"/>
      <c r="E179" s="124"/>
      <c r="F179" s="120"/>
      <c r="G179" s="48"/>
    </row>
    <row r="180" spans="1:7" x14ac:dyDescent="0.2">
      <c r="B180" s="133"/>
      <c r="C180" s="129"/>
      <c r="D180" s="129"/>
      <c r="E180" s="124"/>
      <c r="F180" s="120"/>
      <c r="G180" s="48"/>
    </row>
    <row r="181" spans="1:7" x14ac:dyDescent="0.2">
      <c r="B181" s="133"/>
      <c r="C181" s="129"/>
      <c r="D181" s="129"/>
      <c r="E181" s="124"/>
      <c r="F181" s="120"/>
      <c r="G181" s="48"/>
    </row>
    <row r="182" spans="1:7" x14ac:dyDescent="0.2">
      <c r="B182" s="133"/>
      <c r="C182" s="129"/>
      <c r="D182" s="129"/>
      <c r="E182" s="124"/>
      <c r="F182" s="120"/>
      <c r="G182" s="48"/>
    </row>
    <row r="183" spans="1:7" x14ac:dyDescent="0.2">
      <c r="B183" s="134"/>
      <c r="C183" s="129"/>
      <c r="D183" s="129"/>
      <c r="E183" s="124"/>
      <c r="F183" s="120"/>
      <c r="G183" s="48"/>
    </row>
    <row r="184" spans="1:7" x14ac:dyDescent="0.2">
      <c r="B184" s="134"/>
      <c r="C184" s="130"/>
      <c r="D184" s="130"/>
      <c r="E184" s="125"/>
      <c r="F184" s="120"/>
      <c r="G184" s="48"/>
    </row>
    <row r="185" spans="1:7" x14ac:dyDescent="0.2">
      <c r="B185" s="134"/>
      <c r="C185" s="130"/>
      <c r="D185" s="130"/>
      <c r="E185" s="125"/>
      <c r="F185" s="120"/>
      <c r="G185" s="48"/>
    </row>
    <row r="186" spans="1:7" x14ac:dyDescent="0.2">
      <c r="B186" s="134"/>
      <c r="C186" s="130"/>
      <c r="D186" s="130"/>
      <c r="E186" s="125"/>
      <c r="F186" s="120"/>
      <c r="G186" s="48"/>
    </row>
    <row r="187" spans="1:7" ht="13.5" thickBot="1" x14ac:dyDescent="0.25">
      <c r="B187" s="135"/>
      <c r="C187" s="131"/>
      <c r="D187" s="131"/>
      <c r="E187" s="126"/>
      <c r="F187" s="121"/>
      <c r="G187" s="50"/>
    </row>
    <row r="188" spans="1:7" x14ac:dyDescent="0.2">
      <c r="A188" s="53"/>
      <c r="B188" s="133" t="s">
        <v>9</v>
      </c>
      <c r="C188" s="128"/>
      <c r="D188" s="128"/>
      <c r="E188" s="123"/>
      <c r="F188" s="120"/>
      <c r="G188" s="47"/>
    </row>
    <row r="189" spans="1:7" x14ac:dyDescent="0.2">
      <c r="B189" s="134"/>
      <c r="C189" s="129"/>
      <c r="D189" s="129"/>
      <c r="E189" s="124"/>
      <c r="F189" s="120"/>
      <c r="G189" s="48"/>
    </row>
    <row r="190" spans="1:7" x14ac:dyDescent="0.2">
      <c r="B190" s="134"/>
      <c r="C190" s="129"/>
      <c r="D190" s="129"/>
      <c r="E190" s="124"/>
      <c r="F190" s="120"/>
      <c r="G190" s="48"/>
    </row>
    <row r="191" spans="1:7" x14ac:dyDescent="0.2">
      <c r="B191" s="134"/>
      <c r="C191" s="129"/>
      <c r="D191" s="129"/>
      <c r="E191" s="124"/>
      <c r="F191" s="120"/>
      <c r="G191" s="48"/>
    </row>
    <row r="192" spans="1:7" x14ac:dyDescent="0.2">
      <c r="B192" s="134"/>
      <c r="C192" s="129"/>
      <c r="D192" s="129"/>
      <c r="E192" s="124"/>
      <c r="F192" s="120"/>
      <c r="G192" s="48"/>
    </row>
    <row r="193" spans="2:7" x14ac:dyDescent="0.2">
      <c r="B193" s="134"/>
      <c r="C193" s="129"/>
      <c r="D193" s="129"/>
      <c r="E193" s="124"/>
      <c r="F193" s="120"/>
      <c r="G193" s="51"/>
    </row>
    <row r="194" spans="2:7" x14ac:dyDescent="0.2">
      <c r="B194" s="134"/>
      <c r="C194" s="130"/>
      <c r="D194" s="130"/>
      <c r="E194" s="125"/>
      <c r="F194" s="120"/>
      <c r="G194" s="51"/>
    </row>
    <row r="195" spans="2:7" x14ac:dyDescent="0.2">
      <c r="B195" s="134"/>
      <c r="C195" s="130"/>
      <c r="D195" s="130"/>
      <c r="E195" s="125"/>
      <c r="F195" s="120"/>
      <c r="G195" s="51"/>
    </row>
    <row r="196" spans="2:7" x14ac:dyDescent="0.2">
      <c r="B196" s="134"/>
      <c r="C196" s="130"/>
      <c r="D196" s="130"/>
      <c r="E196" s="125"/>
      <c r="F196" s="120"/>
      <c r="G196" s="51"/>
    </row>
    <row r="197" spans="2:7" ht="13.5" thickBot="1" x14ac:dyDescent="0.25">
      <c r="B197" s="136"/>
      <c r="C197" s="131"/>
      <c r="D197" s="131"/>
      <c r="E197" s="126"/>
      <c r="F197" s="121"/>
      <c r="G197" s="52"/>
    </row>
    <row r="205" spans="2:7" x14ac:dyDescent="0.2">
      <c r="E205" s="70"/>
    </row>
  </sheetData>
  <sheetProtection selectLockedCells="1"/>
  <mergeCells count="98">
    <mergeCell ref="E38:E47"/>
    <mergeCell ref="D58:D67"/>
    <mergeCell ref="B58:B67"/>
    <mergeCell ref="C78:C87"/>
    <mergeCell ref="C88:C97"/>
    <mergeCell ref="C98:C107"/>
    <mergeCell ref="D68:D77"/>
    <mergeCell ref="D78:D87"/>
    <mergeCell ref="D88:D97"/>
    <mergeCell ref="E68:E77"/>
    <mergeCell ref="F58:F67"/>
    <mergeCell ref="E58:E67"/>
    <mergeCell ref="F18:F27"/>
    <mergeCell ref="D128:D137"/>
    <mergeCell ref="D138:D147"/>
    <mergeCell ref="D108:D117"/>
    <mergeCell ref="B68:B77"/>
    <mergeCell ref="B118:B127"/>
    <mergeCell ref="B78:B87"/>
    <mergeCell ref="B88:B97"/>
    <mergeCell ref="B98:B107"/>
    <mergeCell ref="B108:B117"/>
    <mergeCell ref="D118:D127"/>
    <mergeCell ref="C108:C117"/>
    <mergeCell ref="C118:C127"/>
    <mergeCell ref="C128:C137"/>
    <mergeCell ref="C138:C147"/>
    <mergeCell ref="B128:B137"/>
    <mergeCell ref="B138:B147"/>
    <mergeCell ref="F68:F77"/>
    <mergeCell ref="D98:D107"/>
    <mergeCell ref="B2:G2"/>
    <mergeCell ref="B3:G3"/>
    <mergeCell ref="B6:G6"/>
    <mergeCell ref="B8:B17"/>
    <mergeCell ref="E8:E17"/>
    <mergeCell ref="D8:D17"/>
    <mergeCell ref="B28:B37"/>
    <mergeCell ref="B48:B57"/>
    <mergeCell ref="B38:B47"/>
    <mergeCell ref="F28:F37"/>
    <mergeCell ref="F38:F47"/>
    <mergeCell ref="F48:F57"/>
    <mergeCell ref="F8:F17"/>
    <mergeCell ref="C28:C37"/>
    <mergeCell ref="C38:C47"/>
    <mergeCell ref="C48:C57"/>
    <mergeCell ref="B18:B27"/>
    <mergeCell ref="E48:E57"/>
    <mergeCell ref="D18:D27"/>
    <mergeCell ref="D28:D37"/>
    <mergeCell ref="D38:D47"/>
    <mergeCell ref="D48:D57"/>
    <mergeCell ref="E18:E27"/>
    <mergeCell ref="E28:E37"/>
    <mergeCell ref="B178:B187"/>
    <mergeCell ref="B188:B197"/>
    <mergeCell ref="C178:C187"/>
    <mergeCell ref="C168:C177"/>
    <mergeCell ref="B148:B157"/>
    <mergeCell ref="B158:B167"/>
    <mergeCell ref="B168:B177"/>
    <mergeCell ref="C158:C167"/>
    <mergeCell ref="C8:C17"/>
    <mergeCell ref="C18:C27"/>
    <mergeCell ref="C68:C77"/>
    <mergeCell ref="C58:C67"/>
    <mergeCell ref="F188:F197"/>
    <mergeCell ref="F178:F187"/>
    <mergeCell ref="F168:F177"/>
    <mergeCell ref="F158:F167"/>
    <mergeCell ref="F148:F157"/>
    <mergeCell ref="E188:E197"/>
    <mergeCell ref="D148:D157"/>
    <mergeCell ref="C188:C197"/>
    <mergeCell ref="D178:D187"/>
    <mergeCell ref="D188:D197"/>
    <mergeCell ref="E168:E177"/>
    <mergeCell ref="D168:D177"/>
    <mergeCell ref="D158:D167"/>
    <mergeCell ref="C148:C157"/>
    <mergeCell ref="F138:F147"/>
    <mergeCell ref="F128:F137"/>
    <mergeCell ref="F118:F127"/>
    <mergeCell ref="F78:F87"/>
    <mergeCell ref="F88:F97"/>
    <mergeCell ref="F98:F107"/>
    <mergeCell ref="F108:F117"/>
    <mergeCell ref="E178:E187"/>
    <mergeCell ref="E148:E157"/>
    <mergeCell ref="E158:E167"/>
    <mergeCell ref="E118:E127"/>
    <mergeCell ref="E108:E117"/>
    <mergeCell ref="E128:E137"/>
    <mergeCell ref="E138:E147"/>
    <mergeCell ref="E78:E87"/>
    <mergeCell ref="E88:E97"/>
    <mergeCell ref="E98:E107"/>
  </mergeCells>
  <phoneticPr fontId="0" type="noConversion"/>
  <dataValidations count="1">
    <dataValidation type="list" allowBlank="1" showInputMessage="1" showErrorMessage="1" sqref="D8:D197">
      <formula1>$I$8:$I$14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77" min="1" max="6" man="1"/>
    <brk id="137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5"/>
  <sheetViews>
    <sheetView showGridLines="0" topLeftCell="A17" zoomScaleNormal="100" zoomScaleSheetLayoutView="100" workbookViewId="0">
      <selection activeCell="E27" sqref="E27"/>
    </sheetView>
  </sheetViews>
  <sheetFormatPr defaultColWidth="11.42578125" defaultRowHeight="12.75" x14ac:dyDescent="0.2"/>
  <cols>
    <col min="1" max="1" width="4.140625" style="72" customWidth="1"/>
    <col min="2" max="2" width="4" style="72" bestFit="1" customWidth="1"/>
    <col min="3" max="3" width="22.5703125" style="72" customWidth="1"/>
    <col min="4" max="4" width="30.7109375" style="72" customWidth="1"/>
    <col min="5" max="5" width="41.5703125" style="72" customWidth="1"/>
    <col min="6" max="6" width="8.28515625" style="72" bestFit="1" customWidth="1"/>
    <col min="7" max="7" width="12.42578125" style="72" customWidth="1"/>
    <col min="8" max="8" width="15.5703125" style="72" customWidth="1"/>
    <col min="9" max="9" width="8.7109375" style="72" customWidth="1"/>
    <col min="10" max="10" width="10.140625" style="72" customWidth="1"/>
    <col min="11" max="11" width="6.42578125" style="72" customWidth="1"/>
    <col min="12" max="16384" width="11.42578125" style="72"/>
  </cols>
  <sheetData>
    <row r="1" spans="2:11" s="71" customFormat="1" x14ac:dyDescent="0.2"/>
    <row r="2" spans="2:11" s="71" customFormat="1" ht="34.5" customHeight="1" x14ac:dyDescent="0.2">
      <c r="B2" s="156" t="s">
        <v>202</v>
      </c>
      <c r="C2" s="156"/>
      <c r="D2" s="156"/>
      <c r="E2" s="156"/>
      <c r="F2" s="156"/>
      <c r="G2" s="156"/>
      <c r="H2" s="56"/>
      <c r="I2" s="56"/>
      <c r="J2" s="56"/>
    </row>
    <row r="3" spans="2:11" ht="15.75" customHeight="1" x14ac:dyDescent="0.25">
      <c r="B3" s="155" t="s">
        <v>203</v>
      </c>
      <c r="C3" s="155"/>
      <c r="D3" s="155"/>
      <c r="E3" s="155"/>
      <c r="F3" s="155"/>
      <c r="G3" s="155"/>
      <c r="H3" s="169" t="s">
        <v>215</v>
      </c>
      <c r="I3" s="171" t="s">
        <v>214</v>
      </c>
      <c r="J3" s="172"/>
    </row>
    <row r="4" spans="2:11" ht="17.25" customHeight="1" x14ac:dyDescent="0.2">
      <c r="B4" s="1"/>
      <c r="C4" s="6"/>
      <c r="D4" s="6"/>
      <c r="E4" s="6"/>
      <c r="F4" s="6"/>
      <c r="G4" s="6"/>
      <c r="H4" s="170"/>
      <c r="I4" s="57" t="s">
        <v>205</v>
      </c>
      <c r="J4" s="57" t="s">
        <v>34</v>
      </c>
    </row>
    <row r="5" spans="2:11" x14ac:dyDescent="0.2">
      <c r="B5" s="158"/>
      <c r="C5" s="158"/>
      <c r="D5" s="158"/>
      <c r="E5" s="158"/>
      <c r="F5" s="158"/>
      <c r="G5" s="159"/>
      <c r="H5" s="58">
        <v>9</v>
      </c>
      <c r="I5" s="59">
        <v>3</v>
      </c>
      <c r="J5" s="60" t="s">
        <v>206</v>
      </c>
    </row>
    <row r="6" spans="2:11" x14ac:dyDescent="0.2">
      <c r="B6" s="1"/>
      <c r="C6" s="1"/>
      <c r="D6" s="1"/>
      <c r="E6" s="1"/>
      <c r="F6" s="1"/>
      <c r="G6" s="1"/>
      <c r="H6" s="58">
        <v>6</v>
      </c>
      <c r="I6" s="59">
        <v>3</v>
      </c>
      <c r="J6" s="60" t="s">
        <v>206</v>
      </c>
    </row>
    <row r="7" spans="2:11" x14ac:dyDescent="0.2">
      <c r="B7" s="1"/>
      <c r="C7" s="1"/>
      <c r="D7" s="1"/>
      <c r="E7" s="1"/>
      <c r="F7" s="1"/>
      <c r="G7" s="1"/>
      <c r="H7" s="58">
        <v>4</v>
      </c>
      <c r="I7" s="59">
        <v>2</v>
      </c>
      <c r="J7" s="61" t="s">
        <v>207</v>
      </c>
    </row>
    <row r="8" spans="2:11" x14ac:dyDescent="0.2">
      <c r="B8" s="7"/>
      <c r="C8" s="7"/>
      <c r="D8" s="7"/>
      <c r="E8" s="15"/>
      <c r="F8" s="16"/>
      <c r="G8" s="6"/>
      <c r="H8" s="58">
        <v>3</v>
      </c>
      <c r="I8" s="59">
        <v>2</v>
      </c>
      <c r="J8" s="61" t="s">
        <v>207</v>
      </c>
    </row>
    <row r="9" spans="2:11" x14ac:dyDescent="0.2">
      <c r="B9" s="157"/>
      <c r="C9" s="157"/>
      <c r="D9" s="157"/>
      <c r="E9" s="62"/>
      <c r="F9" s="63"/>
      <c r="G9" s="7"/>
      <c r="H9" s="58">
        <v>2</v>
      </c>
      <c r="I9" s="59">
        <v>1</v>
      </c>
      <c r="J9" s="64" t="s">
        <v>208</v>
      </c>
    </row>
    <row r="10" spans="2:11" x14ac:dyDescent="0.2">
      <c r="B10" s="12"/>
      <c r="C10" s="12"/>
      <c r="D10" s="12"/>
      <c r="E10" s="12"/>
      <c r="F10" s="8"/>
      <c r="G10" s="8"/>
      <c r="H10" s="58">
        <v>1</v>
      </c>
      <c r="I10" s="59">
        <v>1</v>
      </c>
      <c r="J10" s="64" t="s">
        <v>208</v>
      </c>
    </row>
    <row r="11" spans="2:11" ht="13.5" thickBot="1" x14ac:dyDescent="0.25">
      <c r="B11" s="12"/>
      <c r="C11" s="12"/>
      <c r="D11" s="12"/>
      <c r="E11" s="12"/>
      <c r="F11" s="8"/>
      <c r="G11" s="8"/>
      <c r="H11" s="93"/>
      <c r="I11" s="94"/>
      <c r="J11" s="94"/>
    </row>
    <row r="12" spans="2:11" ht="28.5" customHeight="1" thickBot="1" x14ac:dyDescent="0.25">
      <c r="B12" s="162" t="s">
        <v>225</v>
      </c>
      <c r="C12" s="163"/>
      <c r="D12" s="163"/>
      <c r="E12" s="163"/>
      <c r="F12" s="163"/>
      <c r="G12" s="163"/>
      <c r="H12" s="163"/>
      <c r="I12" s="163"/>
      <c r="J12" s="164"/>
    </row>
    <row r="13" spans="2:11" ht="18.75" customHeight="1" x14ac:dyDescent="0.2">
      <c r="B13" s="179" t="s">
        <v>226</v>
      </c>
      <c r="C13" s="177" t="s">
        <v>231</v>
      </c>
      <c r="D13" s="177" t="s">
        <v>23</v>
      </c>
      <c r="E13" s="177" t="s">
        <v>19</v>
      </c>
      <c r="F13" s="160" t="s">
        <v>204</v>
      </c>
      <c r="G13" s="160" t="s">
        <v>209</v>
      </c>
      <c r="H13" s="175" t="s">
        <v>215</v>
      </c>
      <c r="I13" s="173" t="s">
        <v>214</v>
      </c>
      <c r="J13" s="174"/>
      <c r="K13" s="154"/>
    </row>
    <row r="14" spans="2:11" ht="13.5" thickBot="1" x14ac:dyDescent="0.25">
      <c r="B14" s="180"/>
      <c r="C14" s="178"/>
      <c r="D14" s="178"/>
      <c r="E14" s="178"/>
      <c r="F14" s="161"/>
      <c r="G14" s="161"/>
      <c r="H14" s="176"/>
      <c r="I14" s="65" t="s">
        <v>205</v>
      </c>
      <c r="J14" s="66" t="s">
        <v>34</v>
      </c>
      <c r="K14" s="154"/>
    </row>
    <row r="15" spans="2:11" ht="51" x14ac:dyDescent="0.2">
      <c r="B15" s="18">
        <v>1</v>
      </c>
      <c r="C15" s="19" t="str">
        <f>IF(Component1&gt;0,Component1,"")</f>
        <v>Component 1</v>
      </c>
      <c r="D15" s="19" t="str">
        <f>IF(Typeofrisk1&gt;0,Typeofrisk1,"")</f>
        <v>Development</v>
      </c>
      <c r="E15" s="20" t="str">
        <f>IF(Risk1&gt;0,Risk1,"")</f>
        <v xml:space="preserve">Lack of engagement of youth in communities due to cultural and ethnic imbalance </v>
      </c>
      <c r="F15" s="21">
        <v>2</v>
      </c>
      <c r="G15" s="21">
        <v>2</v>
      </c>
      <c r="H15" s="102">
        <f>+Impact1*Probability1</f>
        <v>4</v>
      </c>
      <c r="I15" s="69">
        <f>IF(H15&gt;0, VLOOKUP(H15,$H$5:$I$10,2,FALSE),"")</f>
        <v>2</v>
      </c>
      <c r="J15" s="68" t="str">
        <f>IF(I15=1,"Low",IF(I15=2,"Medium",IF(I15=3,"High","")))</f>
        <v>Medium</v>
      </c>
      <c r="K15" s="73"/>
    </row>
    <row r="16" spans="2:11" ht="63.75" x14ac:dyDescent="0.2">
      <c r="B16" s="17">
        <v>2</v>
      </c>
      <c r="C16" s="11" t="str">
        <f>IF(Component2&gt;0,Component2,"")</f>
        <v>Component 1</v>
      </c>
      <c r="D16" s="11" t="str">
        <f>IF(Typeofrisk2&gt;0,Typeofrisk2,"")</f>
        <v>Development</v>
      </c>
      <c r="E16" s="2" t="str">
        <f>IF(Risk2&gt;0,Risk2,"")</f>
        <v>Lack of confidence in government and perception of limited effectiveness of Government Programs; Uncoordinated initiatives ongoing in communities</v>
      </c>
      <c r="F16" s="21">
        <v>2</v>
      </c>
      <c r="G16" s="21">
        <v>2</v>
      </c>
      <c r="H16" s="67">
        <f>+Impact2*Probability2</f>
        <v>4</v>
      </c>
      <c r="I16" s="69">
        <f>IF(H16&gt;0, VLOOKUP(H16,$H$5:$I$10,2,FALSE),"")</f>
        <v>2</v>
      </c>
      <c r="J16" s="68" t="str">
        <f t="shared" ref="J16:J33" si="0">IF(I16=1,"Low",IF(I16=2,"Medium",IF(I16=3,"High","")))</f>
        <v>Medium</v>
      </c>
      <c r="K16" s="73"/>
    </row>
    <row r="17" spans="2:11" ht="51" x14ac:dyDescent="0.2">
      <c r="B17" s="17">
        <v>3</v>
      </c>
      <c r="C17" s="11" t="str">
        <f>IF(Component3&gt;0,Component3,"")</f>
        <v>Component 1</v>
      </c>
      <c r="D17" s="11" t="str">
        <f>IF(Typeofrisk3&gt;0,Typeofrisk3,"")</f>
        <v>Development</v>
      </c>
      <c r="E17" s="2" t="str">
        <f>IF(Risk3&gt;0,Risk3,"")</f>
        <v>Population (along with crime and violence) shifting around the country</v>
      </c>
      <c r="F17" s="21">
        <v>2</v>
      </c>
      <c r="G17" s="21">
        <v>1</v>
      </c>
      <c r="H17" s="67">
        <f>+Impact3*Probability3</f>
        <v>2</v>
      </c>
      <c r="I17" s="69">
        <f t="shared" ref="I17" si="1">IF(H17&gt;0, VLOOKUP(H17,$H$5:$I$10,2,FALSE),"")</f>
        <v>1</v>
      </c>
      <c r="J17" s="68" t="str">
        <f t="shared" si="0"/>
        <v>Low</v>
      </c>
      <c r="K17" s="73"/>
    </row>
    <row r="18" spans="2:11" ht="38.25" x14ac:dyDescent="0.2">
      <c r="B18" s="17">
        <v>4</v>
      </c>
      <c r="C18" s="11" t="str">
        <f>IF(Component4&gt;0,Component4,"")</f>
        <v>Component 1</v>
      </c>
      <c r="D18" s="11" t="str">
        <f>IF(Typeofrisk4&gt;0,Typeofrisk4,"")</f>
        <v>Development</v>
      </c>
      <c r="E18" s="2" t="str">
        <f>IF(Risk4&gt;0,Risk4,"")</f>
        <v xml:space="preserve">Safety concerns within communities </v>
      </c>
      <c r="F18" s="21">
        <v>2</v>
      </c>
      <c r="G18" s="21">
        <v>1</v>
      </c>
      <c r="H18" s="67">
        <f>+Impact4*Probability4</f>
        <v>2</v>
      </c>
      <c r="I18" s="69">
        <f>IF(H18&gt;0, VLOOKUP(H18,$H$5:$I$10,2,FALSE),"")</f>
        <v>1</v>
      </c>
      <c r="J18" s="68" t="str">
        <f t="shared" si="0"/>
        <v>Low</v>
      </c>
      <c r="K18" s="73"/>
    </row>
    <row r="19" spans="2:11" ht="51" x14ac:dyDescent="0.2">
      <c r="B19" s="17">
        <v>5</v>
      </c>
      <c r="C19" s="11" t="str">
        <f>IF(Component5&gt;0,Component5,"")</f>
        <v>Component 1</v>
      </c>
      <c r="D19" s="11" t="str">
        <f>IF(Typeofrisk5&gt;0,Typeofrisk5,"")</f>
        <v>Development</v>
      </c>
      <c r="E19" s="2" t="str">
        <f>IF(Risk5&gt;0,Risk5,"")</f>
        <v>Relying exclusively on traditional criteria for selection of participating communities (not taking into account special vulnerabilities of indigenous communities)</v>
      </c>
      <c r="F19" s="21">
        <v>2</v>
      </c>
      <c r="G19" s="21">
        <v>1</v>
      </c>
      <c r="H19" s="67">
        <f>+Impact5*Probability5</f>
        <v>2</v>
      </c>
      <c r="I19" s="69">
        <f t="shared" ref="I19:I33" si="2">IF(H19&gt;0, VLOOKUP(H19,$H$5:$I$10,2,FALSE),"")</f>
        <v>1</v>
      </c>
      <c r="J19" s="68" t="str">
        <f t="shared" si="0"/>
        <v>Low</v>
      </c>
      <c r="K19" s="73"/>
    </row>
    <row r="20" spans="2:11" x14ac:dyDescent="0.2">
      <c r="B20" s="17">
        <v>6</v>
      </c>
      <c r="C20" s="11" t="str">
        <f>IF(Component6&gt;0,Component6,"")</f>
        <v>Component 1</v>
      </c>
      <c r="D20" s="11" t="str">
        <f>IF(Typeofrisk6&gt;0,Typeofrisk6,"")</f>
        <v>Macroeconomic and Fiscal Sustainability</v>
      </c>
      <c r="E20" s="2" t="str">
        <f>IF(Risk6&gt;0,Risk6,"")</f>
        <v>Sustainability of community interventions</v>
      </c>
      <c r="F20" s="21">
        <v>2</v>
      </c>
      <c r="G20" s="21">
        <v>2</v>
      </c>
      <c r="H20" s="67">
        <f>+Impact6*Probability6</f>
        <v>4</v>
      </c>
      <c r="I20" s="69">
        <f t="shared" si="2"/>
        <v>2</v>
      </c>
      <c r="J20" s="68" t="str">
        <f t="shared" si="0"/>
        <v>Medium</v>
      </c>
      <c r="K20" s="73"/>
    </row>
    <row r="21" spans="2:11" ht="25.5" x14ac:dyDescent="0.2">
      <c r="B21" s="17">
        <v>7</v>
      </c>
      <c r="C21" s="11" t="str">
        <f>IF(Component7&gt;0,Component7,"")</f>
        <v>Component 2</v>
      </c>
      <c r="D21" s="11" t="str">
        <f>IF(Typeofrisk7&gt;0,Typeofrisk7,"")</f>
        <v>Reputation</v>
      </c>
      <c r="E21" s="2" t="str">
        <f>IF(Risk7&gt;0,Risk7,"")</f>
        <v xml:space="preserve">Misconduct of Police in dealing with communities; lack of trust in Police </v>
      </c>
      <c r="F21" s="21">
        <v>3</v>
      </c>
      <c r="G21" s="21">
        <v>2</v>
      </c>
      <c r="H21" s="67">
        <f>+Impact7*Probability7</f>
        <v>6</v>
      </c>
      <c r="I21" s="69">
        <f t="shared" si="2"/>
        <v>3</v>
      </c>
      <c r="J21" s="68" t="str">
        <f t="shared" si="0"/>
        <v>High</v>
      </c>
      <c r="K21" s="73"/>
    </row>
    <row r="22" spans="2:11" ht="25.5" x14ac:dyDescent="0.2">
      <c r="B22" s="17">
        <v>8</v>
      </c>
      <c r="C22" s="11" t="str">
        <f>IF(Component8&gt;0,Component8,"")</f>
        <v>Component 2</v>
      </c>
      <c r="D22" s="11" t="str">
        <f>IF(Typeofrisk8&gt;0,Typeofrisk8,"")</f>
        <v>Development</v>
      </c>
      <c r="E22" s="2" t="str">
        <f>IF(Risk8&gt;0,Risk8,"")</f>
        <v>Low confidence in institutions</v>
      </c>
      <c r="F22" s="21">
        <v>2</v>
      </c>
      <c r="G22" s="21">
        <v>2</v>
      </c>
      <c r="H22" s="67">
        <f>+Impact8*Probability8</f>
        <v>4</v>
      </c>
      <c r="I22" s="69">
        <f t="shared" si="2"/>
        <v>2</v>
      </c>
      <c r="J22" s="68" t="str">
        <f t="shared" si="0"/>
        <v>Medium</v>
      </c>
      <c r="K22" s="73"/>
    </row>
    <row r="23" spans="2:11" x14ac:dyDescent="0.2">
      <c r="B23" s="17">
        <v>9</v>
      </c>
      <c r="C23" s="11" t="str">
        <f>IF(Component9&gt;0,Component9,"")</f>
        <v>Component 2 and Component 4</v>
      </c>
      <c r="D23" s="11" t="str">
        <f>IF(Typeofrisk9&gt;0,Typeofrisk9,"")</f>
        <v>Public Management and Governance</v>
      </c>
      <c r="E23" s="2" t="str">
        <f>IF(Risk9&gt;0,Risk9,"")</f>
        <v>Political interference in the administration of human resources</v>
      </c>
      <c r="F23" s="21">
        <v>2</v>
      </c>
      <c r="G23" s="21">
        <v>1</v>
      </c>
      <c r="H23" s="67">
        <f>+Impact9*Probability9</f>
        <v>2</v>
      </c>
      <c r="I23" s="69">
        <f t="shared" si="2"/>
        <v>1</v>
      </c>
      <c r="J23" s="68" t="str">
        <f t="shared" si="0"/>
        <v>Low</v>
      </c>
      <c r="K23" s="73"/>
    </row>
    <row r="24" spans="2:11" ht="27" customHeight="1" x14ac:dyDescent="0.2">
      <c r="B24" s="17">
        <v>10</v>
      </c>
      <c r="C24" s="11" t="str">
        <f>IF(Component10&gt;0,Component10,"")</f>
        <v>Component 3</v>
      </c>
      <c r="D24" s="11" t="str">
        <f>IF(Typeofrisk10&gt;0,Typeofrisk10,"")</f>
        <v>Public Management and Governance</v>
      </c>
      <c r="E24" s="2" t="str">
        <f>IF(Risk10&gt;0,Risk10,"")</f>
        <v>Public backslash and resistance to corrective approach</v>
      </c>
      <c r="F24" s="21">
        <v>2</v>
      </c>
      <c r="G24" s="21">
        <v>1</v>
      </c>
      <c r="H24" s="67">
        <f>+Impact10*Probability10</f>
        <v>2</v>
      </c>
      <c r="I24" s="69">
        <f t="shared" si="2"/>
        <v>1</v>
      </c>
      <c r="J24" s="68" t="str">
        <f t="shared" si="0"/>
        <v>Low</v>
      </c>
      <c r="K24" s="73"/>
    </row>
    <row r="25" spans="2:11" x14ac:dyDescent="0.2">
      <c r="B25" s="17">
        <v>11</v>
      </c>
      <c r="C25" s="11" t="str">
        <f>IF(Component11&gt;0,Component11,"")</f>
        <v>Component 3</v>
      </c>
      <c r="D25" s="11" t="str">
        <f>IF(Typeofrisk11&gt;0,Typeofrisk11,"")</f>
        <v>Monitoring and Accountability</v>
      </c>
      <c r="E25" s="2" t="str">
        <f>IF(Risk11&gt;0,Risk11,"")</f>
        <v xml:space="preserve">Slow up-take of re-integration program </v>
      </c>
      <c r="F25" s="21">
        <v>2</v>
      </c>
      <c r="G25" s="21">
        <v>2</v>
      </c>
      <c r="H25" s="67">
        <f>+Impact11*Probability11</f>
        <v>4</v>
      </c>
      <c r="I25" s="69">
        <f t="shared" si="2"/>
        <v>2</v>
      </c>
      <c r="J25" s="68" t="str">
        <f t="shared" si="0"/>
        <v>Medium</v>
      </c>
      <c r="K25" s="74"/>
    </row>
    <row r="26" spans="2:11" x14ac:dyDescent="0.2">
      <c r="B26" s="17">
        <v>12</v>
      </c>
      <c r="C26" s="11" t="str">
        <f>IF(Component12&gt;0,Component12,"")</f>
        <v>Component 4</v>
      </c>
      <c r="D26" s="11" t="str">
        <f>IF(Typeofrisk12&gt;0,Typeofrisk12,"")</f>
        <v>Monitoring and Accountability</v>
      </c>
      <c r="E26" s="2" t="str">
        <f>IF(Risk12&gt;0,Risk12,"")</f>
        <v>Limited dissemination of data</v>
      </c>
      <c r="F26" s="21">
        <v>2</v>
      </c>
      <c r="G26" s="21">
        <v>2</v>
      </c>
      <c r="H26" s="67">
        <f>+Impact12*Probability12</f>
        <v>4</v>
      </c>
      <c r="I26" s="69">
        <f t="shared" si="2"/>
        <v>2</v>
      </c>
      <c r="J26" s="68" t="str">
        <f t="shared" si="0"/>
        <v>Medium</v>
      </c>
      <c r="K26" s="74"/>
    </row>
    <row r="27" spans="2:11" x14ac:dyDescent="0.2">
      <c r="B27" s="17">
        <v>14</v>
      </c>
      <c r="C27" s="11" t="str">
        <f>IF(Component14&gt;0,Component14,"")</f>
        <v>Cross Cutting</v>
      </c>
      <c r="D27" s="11" t="str">
        <f>IF(Typeofrisk14&gt;0,Typeofrisk14,"")</f>
        <v>Reputation</v>
      </c>
      <c r="E27" s="2" t="str">
        <f>IF(Risk14&gt;0,Risk14,"")</f>
        <v>Negative perception of Program</v>
      </c>
      <c r="F27" s="21">
        <v>2</v>
      </c>
      <c r="G27" s="21">
        <v>2</v>
      </c>
      <c r="H27" s="67">
        <f>+Impact14*Probability14</f>
        <v>4</v>
      </c>
      <c r="I27" s="69">
        <f t="shared" si="2"/>
        <v>2</v>
      </c>
      <c r="J27" s="68" t="str">
        <f t="shared" si="0"/>
        <v>Medium</v>
      </c>
      <c r="K27" s="74"/>
    </row>
    <row r="28" spans="2:11" x14ac:dyDescent="0.2">
      <c r="B28" s="17">
        <v>15</v>
      </c>
      <c r="C28" s="11" t="str">
        <f>IF(Component15&gt;0,Component15,"")</f>
        <v>Cross Cutting</v>
      </c>
      <c r="D28" s="11" t="str">
        <f>IF(Typeofrisk15&gt;0,Typeofrisk15,"")</f>
        <v>Fiduciary</v>
      </c>
      <c r="E28" s="2" t="str">
        <f>IF(Risk15&gt;0,Risk15,"")</f>
        <v>Lack of Transparency (reputation)</v>
      </c>
      <c r="F28" s="21">
        <v>3</v>
      </c>
      <c r="G28" s="21">
        <v>3</v>
      </c>
      <c r="H28" s="67">
        <f>+Impact15*Probability15</f>
        <v>9</v>
      </c>
      <c r="I28" s="69">
        <f t="shared" si="2"/>
        <v>3</v>
      </c>
      <c r="J28" s="68" t="str">
        <f t="shared" si="0"/>
        <v>High</v>
      </c>
      <c r="K28" s="74"/>
    </row>
    <row r="29" spans="2:11" x14ac:dyDescent="0.2">
      <c r="B29" s="17">
        <v>16</v>
      </c>
      <c r="C29" s="11" t="str">
        <f>IF(Component16&gt;0,Component16,"")</f>
        <v/>
      </c>
      <c r="D29" s="11" t="str">
        <f>IF(Typeofrisk16&gt;0,Typeofrisk16,"")</f>
        <v/>
      </c>
      <c r="E29" s="2" t="str">
        <f>IF(Risk16&gt;0,Risk16,"")</f>
        <v/>
      </c>
      <c r="F29" s="21">
        <v>3</v>
      </c>
      <c r="G29" s="21">
        <v>3</v>
      </c>
      <c r="H29" s="67">
        <f>+Impact16*Probability16</f>
        <v>9</v>
      </c>
      <c r="I29" s="69">
        <f t="shared" si="2"/>
        <v>3</v>
      </c>
      <c r="J29" s="68" t="str">
        <f t="shared" si="0"/>
        <v>High</v>
      </c>
      <c r="K29" s="74"/>
    </row>
    <row r="30" spans="2:11" x14ac:dyDescent="0.2">
      <c r="B30" s="17">
        <v>17</v>
      </c>
      <c r="C30" s="11" t="str">
        <f>IF(Component17&gt;0,Component17,"")</f>
        <v/>
      </c>
      <c r="D30" s="11" t="str">
        <f>IF(Typeofrisk17&gt;0,Typeofrisk17,"")</f>
        <v/>
      </c>
      <c r="E30" s="2" t="str">
        <f>IF(Risk17&gt;0,Risk17,"")</f>
        <v/>
      </c>
      <c r="F30" s="21">
        <v>3</v>
      </c>
      <c r="G30" s="21">
        <v>3</v>
      </c>
      <c r="H30" s="67">
        <f>+Impact17*Probability17</f>
        <v>9</v>
      </c>
      <c r="I30" s="69">
        <f t="shared" si="2"/>
        <v>3</v>
      </c>
      <c r="J30" s="68" t="str">
        <f t="shared" si="0"/>
        <v>High</v>
      </c>
      <c r="K30" s="74"/>
    </row>
    <row r="31" spans="2:11" x14ac:dyDescent="0.2">
      <c r="B31" s="17">
        <v>18</v>
      </c>
      <c r="C31" s="11" t="str">
        <f>IF(Component18&gt;0,Component18,"")</f>
        <v/>
      </c>
      <c r="D31" s="11" t="str">
        <f>IF(Typeofrisk18&gt;0,Typeofrisk18,"")</f>
        <v/>
      </c>
      <c r="E31" s="2" t="str">
        <f>IF(Risk18&gt;0,Risk18,"")</f>
        <v/>
      </c>
      <c r="F31" s="21">
        <v>3</v>
      </c>
      <c r="G31" s="21">
        <v>3</v>
      </c>
      <c r="H31" s="67">
        <f>+Impact18*Probability18</f>
        <v>9</v>
      </c>
      <c r="I31" s="69">
        <f t="shared" si="2"/>
        <v>3</v>
      </c>
      <c r="J31" s="68" t="str">
        <f t="shared" si="0"/>
        <v>High</v>
      </c>
      <c r="K31" s="74"/>
    </row>
    <row r="32" spans="2:11" x14ac:dyDescent="0.2">
      <c r="B32" s="17">
        <v>19</v>
      </c>
      <c r="C32" s="11" t="str">
        <f>IF(Component19&gt;0,Component19,"")</f>
        <v/>
      </c>
      <c r="D32" s="11" t="str">
        <f>IF(Typeofrisk19&gt;0,Typeofrisk19,"")</f>
        <v/>
      </c>
      <c r="E32" s="2" t="str">
        <f>IF(Risk19&gt;0,Risk19,"")</f>
        <v/>
      </c>
      <c r="F32" s="21">
        <v>3</v>
      </c>
      <c r="G32" s="21">
        <v>3</v>
      </c>
      <c r="H32" s="67">
        <f>+Impact19*Probability19</f>
        <v>9</v>
      </c>
      <c r="I32" s="69">
        <f t="shared" si="2"/>
        <v>3</v>
      </c>
      <c r="J32" s="68" t="str">
        <f t="shared" si="0"/>
        <v>High</v>
      </c>
      <c r="K32" s="74"/>
    </row>
    <row r="33" spans="2:11" x14ac:dyDescent="0.2">
      <c r="B33" s="17">
        <v>20</v>
      </c>
      <c r="C33" s="11" t="str">
        <f>IF(Component20&gt;0,Component20,"")</f>
        <v/>
      </c>
      <c r="D33" s="11" t="str">
        <f>IF(Typeofrisk20&gt;0,Typeofrisk20,"")</f>
        <v/>
      </c>
      <c r="E33" s="2" t="str">
        <f>IF(Risk20&gt;0,Risk20,"")</f>
        <v/>
      </c>
      <c r="F33" s="21">
        <v>3</v>
      </c>
      <c r="G33" s="21">
        <v>3</v>
      </c>
      <c r="H33" s="67">
        <f>+Impact20*Probability20</f>
        <v>9</v>
      </c>
      <c r="I33" s="69">
        <f t="shared" si="2"/>
        <v>3</v>
      </c>
      <c r="J33" s="68" t="str">
        <f t="shared" si="0"/>
        <v>High</v>
      </c>
      <c r="K33" s="74"/>
    </row>
    <row r="34" spans="2:11" ht="13.5" thickBot="1" x14ac:dyDescent="0.25">
      <c r="B34" s="166" t="s">
        <v>216</v>
      </c>
      <c r="C34" s="167"/>
      <c r="D34" s="167"/>
      <c r="E34" s="167"/>
      <c r="F34" s="167"/>
      <c r="G34" s="167"/>
      <c r="H34" s="168"/>
      <c r="I34" s="181" t="s">
        <v>216</v>
      </c>
      <c r="J34" s="167" t="str">
        <f>IF(I34=1,"Low",IF(I34=2,"Medium",IF(I34=3,"High","")))</f>
        <v/>
      </c>
      <c r="K34" s="75" t="s">
        <v>216</v>
      </c>
    </row>
    <row r="35" spans="2:11" ht="30" customHeight="1" x14ac:dyDescent="0.2">
      <c r="B35" s="103" t="s">
        <v>216</v>
      </c>
      <c r="C35" s="165" t="s">
        <v>216</v>
      </c>
      <c r="D35" s="165"/>
      <c r="E35" s="165"/>
      <c r="F35" s="165"/>
      <c r="G35" s="165"/>
      <c r="H35" s="165"/>
      <c r="I35" s="76"/>
      <c r="J35" s="76"/>
      <c r="K35" s="76"/>
    </row>
    <row r="36" spans="2:11" x14ac:dyDescent="0.2">
      <c r="B36" s="76"/>
      <c r="C36" s="76"/>
      <c r="D36" s="76"/>
      <c r="E36" s="76"/>
      <c r="F36" s="76"/>
      <c r="G36" s="76"/>
      <c r="H36" s="76"/>
      <c r="I36" s="76"/>
      <c r="J36" s="76"/>
      <c r="K36" s="76"/>
    </row>
    <row r="37" spans="2:11" x14ac:dyDescent="0.2">
      <c r="B37" s="76"/>
      <c r="C37" s="76"/>
      <c r="D37" s="76"/>
      <c r="E37" s="76"/>
      <c r="F37" s="76"/>
      <c r="G37" s="76"/>
      <c r="H37" s="76"/>
      <c r="I37" s="76"/>
      <c r="J37" s="76"/>
      <c r="K37" s="76"/>
    </row>
    <row r="38" spans="2:11" x14ac:dyDescent="0.2">
      <c r="B38" s="76"/>
      <c r="C38" s="76"/>
      <c r="D38" s="76"/>
      <c r="E38" s="76"/>
      <c r="F38" s="76"/>
      <c r="G38" s="76"/>
      <c r="H38" s="76"/>
      <c r="I38" s="76"/>
      <c r="J38" s="76"/>
      <c r="K38" s="76"/>
    </row>
    <row r="39" spans="2:11" x14ac:dyDescent="0.2">
      <c r="B39" s="76"/>
      <c r="C39" s="76"/>
      <c r="D39" s="76"/>
      <c r="E39" s="76"/>
      <c r="F39" s="76"/>
      <c r="G39" s="76"/>
      <c r="H39" s="76"/>
      <c r="I39" s="76"/>
      <c r="J39" s="76"/>
      <c r="K39" s="76"/>
    </row>
    <row r="40" spans="2:11" x14ac:dyDescent="0.2">
      <c r="B40" s="76"/>
      <c r="C40" s="76"/>
      <c r="D40" s="76"/>
      <c r="E40" s="76"/>
      <c r="F40" s="76"/>
      <c r="G40" s="76"/>
      <c r="H40" s="76"/>
      <c r="I40" s="76"/>
      <c r="J40" s="76"/>
      <c r="K40" s="76"/>
    </row>
    <row r="41" spans="2:11" x14ac:dyDescent="0.2"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2:11" x14ac:dyDescent="0.2">
      <c r="B42" s="76"/>
      <c r="C42" s="76"/>
      <c r="D42" s="76"/>
      <c r="E42" s="76"/>
      <c r="F42" s="76"/>
      <c r="G42" s="76"/>
      <c r="H42" s="76"/>
      <c r="I42" s="76"/>
      <c r="J42" s="76"/>
      <c r="K42" s="76"/>
    </row>
    <row r="43" spans="2:11" x14ac:dyDescent="0.2"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2:11" x14ac:dyDescent="0.2"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2:11" x14ac:dyDescent="0.2">
      <c r="B45" s="76"/>
      <c r="C45" s="76"/>
      <c r="D45" s="76"/>
      <c r="E45" s="76"/>
      <c r="F45" s="76"/>
      <c r="G45" s="76"/>
      <c r="H45" s="76"/>
      <c r="I45" s="76"/>
      <c r="J45" s="76"/>
      <c r="K45" s="76"/>
    </row>
    <row r="46" spans="2:11" x14ac:dyDescent="0.2"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2:11" x14ac:dyDescent="0.2"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2:11" x14ac:dyDescent="0.2">
      <c r="B48" s="76"/>
      <c r="C48" s="76"/>
      <c r="D48" s="76"/>
      <c r="E48" s="76"/>
      <c r="F48" s="76"/>
      <c r="G48" s="76"/>
      <c r="H48" s="76"/>
      <c r="I48" s="76"/>
      <c r="J48" s="76"/>
      <c r="K48" s="76"/>
    </row>
    <row r="49" spans="2:11" x14ac:dyDescent="0.2">
      <c r="B49" s="76"/>
      <c r="C49" s="76"/>
      <c r="D49" s="76"/>
      <c r="E49" s="76"/>
      <c r="F49" s="76"/>
      <c r="G49" s="76"/>
      <c r="H49" s="76"/>
      <c r="I49" s="76"/>
      <c r="J49" s="76"/>
      <c r="K49" s="76"/>
    </row>
    <row r="50" spans="2:11" x14ac:dyDescent="0.2"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 spans="2:11" x14ac:dyDescent="0.2"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 spans="2:11" x14ac:dyDescent="0.2"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2:11" x14ac:dyDescent="0.2"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2:11" x14ac:dyDescent="0.2"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2:11" x14ac:dyDescent="0.2">
      <c r="B55" s="76"/>
      <c r="C55" s="76"/>
      <c r="D55" s="76"/>
      <c r="E55" s="76"/>
      <c r="F55" s="76"/>
      <c r="G55" s="76"/>
      <c r="H55" s="76"/>
      <c r="I55" s="76"/>
      <c r="J55" s="76"/>
      <c r="K55" s="76"/>
    </row>
  </sheetData>
  <sheetProtection selectLockedCells="1"/>
  <mergeCells count="19">
    <mergeCell ref="C35:H35"/>
    <mergeCell ref="B34:H34"/>
    <mergeCell ref="H3:H4"/>
    <mergeCell ref="I3:J3"/>
    <mergeCell ref="I13:J13"/>
    <mergeCell ref="H13:H14"/>
    <mergeCell ref="C13:C14"/>
    <mergeCell ref="D13:D14"/>
    <mergeCell ref="E13:E14"/>
    <mergeCell ref="B13:B14"/>
    <mergeCell ref="I34:J34"/>
    <mergeCell ref="K13:K14"/>
    <mergeCell ref="B3:G3"/>
    <mergeCell ref="B2:G2"/>
    <mergeCell ref="B9:D9"/>
    <mergeCell ref="B5:G5"/>
    <mergeCell ref="F13:F14"/>
    <mergeCell ref="G13:G14"/>
    <mergeCell ref="B12:J12"/>
  </mergeCells>
  <phoneticPr fontId="0" type="noConversion"/>
  <conditionalFormatting sqref="F15:F33">
    <cfRule type="cellIs" dxfId="63" priority="64" stopIfTrue="1" operator="equal">
      <formula>3</formula>
    </cfRule>
    <cfRule type="cellIs" dxfId="62" priority="65" stopIfTrue="1" operator="equal">
      <formula>2</formula>
    </cfRule>
    <cfRule type="cellIs" dxfId="61" priority="66" stopIfTrue="1" operator="equal">
      <formula>1</formula>
    </cfRule>
  </conditionalFormatting>
  <conditionalFormatting sqref="I15:I33">
    <cfRule type="cellIs" dxfId="60" priority="53" stopIfTrue="1" operator="notBetween">
      <formula>1</formula>
      <formula>3</formula>
    </cfRule>
    <cfRule type="expression" dxfId="59" priority="58" stopIfTrue="1">
      <formula>$I15=3</formula>
    </cfRule>
    <cfRule type="expression" dxfId="58" priority="59" stopIfTrue="1">
      <formula>$I15=2</formula>
    </cfRule>
    <cfRule type="expression" dxfId="57" priority="60" stopIfTrue="1">
      <formula>$I15=1</formula>
    </cfRule>
  </conditionalFormatting>
  <conditionalFormatting sqref="J15:J33">
    <cfRule type="cellIs" dxfId="56" priority="49" stopIfTrue="1" operator="equal">
      <formula>""</formula>
    </cfRule>
    <cfRule type="cellIs" dxfId="55" priority="50" stopIfTrue="1" operator="equal">
      <formula>"Medium"</formula>
    </cfRule>
    <cfRule type="cellIs" dxfId="54" priority="51" stopIfTrue="1" operator="equal">
      <formula>"High"</formula>
    </cfRule>
    <cfRule type="cellIs" dxfId="53" priority="52" stopIfTrue="1" operator="equal">
      <formula>"Low"</formula>
    </cfRule>
  </conditionalFormatting>
  <conditionalFormatting sqref="G15:G33">
    <cfRule type="cellIs" dxfId="52" priority="17" operator="equal">
      <formula>3</formula>
    </cfRule>
    <cfRule type="cellIs" dxfId="51" priority="18" operator="equal">
      <formula>2</formula>
    </cfRule>
    <cfRule type="cellIs" dxfId="50" priority="48" stopIfTrue="1" operator="equal">
      <formula>1</formula>
    </cfRule>
  </conditionalFormatting>
  <dataValidations count="1">
    <dataValidation type="whole" allowBlank="1" showInputMessage="1" showErrorMessage="1" sqref="F15:G33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5 H16:H26 J15 I16:I23 C16:E26 C15:D15 E15 I25:I26 H27:H33 C27:E33 I27:I3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82"/>
  <sheetViews>
    <sheetView tabSelected="1" zoomScale="86" zoomScaleNormal="86" zoomScaleSheetLayoutView="100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activeCell="H14" sqref="H14"/>
    </sheetView>
  </sheetViews>
  <sheetFormatPr defaultColWidth="11.42578125" defaultRowHeight="12.75" x14ac:dyDescent="0.2"/>
  <cols>
    <col min="1" max="1" width="4.28515625" style="72" customWidth="1"/>
    <col min="2" max="2" width="4" style="85" customWidth="1"/>
    <col min="3" max="3" width="7.7109375" style="72" customWidth="1"/>
    <col min="4" max="4" width="19.7109375" style="72" customWidth="1"/>
    <col min="5" max="5" width="22" style="72" customWidth="1"/>
    <col min="6" max="6" width="8.7109375" style="72" customWidth="1"/>
    <col min="7" max="7" width="10" style="72" customWidth="1"/>
    <col min="8" max="8" width="16.28515625" style="72" customWidth="1"/>
    <col min="9" max="9" width="18" style="72" customWidth="1"/>
    <col min="10" max="10" width="12" style="72" customWidth="1"/>
    <col min="11" max="11" width="13.85546875" style="72" customWidth="1"/>
    <col min="12" max="12" width="11.42578125" style="72" customWidth="1"/>
    <col min="13" max="13" width="16.5703125" style="72" customWidth="1"/>
    <col min="14" max="14" width="15.28515625" style="72" customWidth="1"/>
    <col min="15" max="15" width="16.42578125" style="72" customWidth="1"/>
    <col min="16" max="16" width="12.5703125" style="72" customWidth="1"/>
    <col min="17" max="17" width="13.28515625" style="72" customWidth="1"/>
    <col min="18" max="16384" width="11.42578125" style="72"/>
  </cols>
  <sheetData>
    <row r="1" spans="2:17" s="71" customFormat="1" x14ac:dyDescent="0.2"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2:17" s="71" customFormat="1" ht="36.75" customHeight="1" x14ac:dyDescent="0.2">
      <c r="B2" s="206" t="s">
        <v>202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</row>
    <row r="3" spans="2:17" ht="15.75" x14ac:dyDescent="0.25">
      <c r="B3" s="207" t="s">
        <v>203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</row>
    <row r="4" spans="2:17" x14ac:dyDescent="0.2">
      <c r="B4" s="79"/>
      <c r="C4" s="55"/>
      <c r="D4" s="55"/>
      <c r="E4" s="55"/>
      <c r="F4" s="80"/>
      <c r="G4" s="80"/>
      <c r="H4" s="80"/>
      <c r="I4" s="80"/>
      <c r="J4" s="80"/>
      <c r="K4" s="80"/>
      <c r="L4" s="80"/>
      <c r="M4" s="81"/>
      <c r="N4" s="81"/>
      <c r="O4" s="81"/>
      <c r="P4" s="81"/>
      <c r="Q4" s="81"/>
    </row>
    <row r="5" spans="2:17" x14ac:dyDescent="0.2"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</row>
    <row r="6" spans="2:17" x14ac:dyDescent="0.2">
      <c r="B6" s="79"/>
      <c r="C6" s="55"/>
      <c r="D6" s="55"/>
      <c r="E6" s="55"/>
      <c r="F6" s="82"/>
      <c r="G6" s="80"/>
      <c r="H6" s="80"/>
      <c r="I6" s="80"/>
      <c r="J6" s="80"/>
      <c r="K6" s="80"/>
      <c r="L6" s="80"/>
      <c r="M6" s="81"/>
      <c r="N6" s="81"/>
      <c r="O6" s="81"/>
      <c r="P6" s="81"/>
      <c r="Q6" s="81"/>
    </row>
    <row r="7" spans="2:17" x14ac:dyDescent="0.2">
      <c r="B7" s="79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2:17" ht="13.5" thickBot="1" x14ac:dyDescent="0.25">
      <c r="B8" s="79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2:17" ht="27" customHeight="1" x14ac:dyDescent="0.2">
      <c r="B9" s="179" t="s">
        <v>226</v>
      </c>
      <c r="C9" s="209" t="s">
        <v>232</v>
      </c>
      <c r="D9" s="199" t="s">
        <v>23</v>
      </c>
      <c r="E9" s="199" t="s">
        <v>19</v>
      </c>
      <c r="F9" s="213" t="s">
        <v>214</v>
      </c>
      <c r="G9" s="199"/>
      <c r="H9" s="220" t="s">
        <v>213</v>
      </c>
      <c r="I9" s="221"/>
      <c r="J9" s="221"/>
      <c r="K9" s="221"/>
      <c r="L9" s="221"/>
      <c r="M9" s="221"/>
      <c r="N9" s="221"/>
      <c r="O9" s="221"/>
      <c r="P9" s="221"/>
      <c r="Q9" s="222"/>
    </row>
    <row r="10" spans="2:17" ht="24" customHeight="1" x14ac:dyDescent="0.2">
      <c r="B10" s="202"/>
      <c r="C10" s="210"/>
      <c r="D10" s="200"/>
      <c r="E10" s="200"/>
      <c r="F10" s="214"/>
      <c r="G10" s="201"/>
      <c r="H10" s="212" t="s">
        <v>182</v>
      </c>
      <c r="I10" s="215" t="s">
        <v>218</v>
      </c>
      <c r="J10" s="212" t="s">
        <v>186</v>
      </c>
      <c r="K10" s="215" t="s">
        <v>221</v>
      </c>
      <c r="L10" s="215" t="s">
        <v>220</v>
      </c>
      <c r="M10" s="212" t="s">
        <v>219</v>
      </c>
      <c r="N10" s="212"/>
      <c r="O10" s="216" t="s">
        <v>223</v>
      </c>
      <c r="P10" s="218" t="s">
        <v>222</v>
      </c>
      <c r="Q10" s="219"/>
    </row>
    <row r="11" spans="2:17" ht="25.5" x14ac:dyDescent="0.2">
      <c r="B11" s="203"/>
      <c r="C11" s="211"/>
      <c r="D11" s="201"/>
      <c r="E11" s="201"/>
      <c r="F11" s="54" t="s">
        <v>205</v>
      </c>
      <c r="G11" s="54" t="s">
        <v>34</v>
      </c>
      <c r="H11" s="212"/>
      <c r="I11" s="215"/>
      <c r="J11" s="212"/>
      <c r="K11" s="215"/>
      <c r="L11" s="215"/>
      <c r="M11" s="100" t="s">
        <v>194</v>
      </c>
      <c r="N11" s="101" t="s">
        <v>196</v>
      </c>
      <c r="O11" s="217"/>
      <c r="P11" s="95" t="s">
        <v>199</v>
      </c>
      <c r="Q11" s="96" t="s">
        <v>201</v>
      </c>
    </row>
    <row r="12" spans="2:17" x14ac:dyDescent="0.2">
      <c r="B12" s="198">
        <v>1</v>
      </c>
      <c r="C12" s="194" t="str">
        <f>IF(Component1&gt;0,Component1,"")</f>
        <v>Component 1</v>
      </c>
      <c r="D12" s="204" t="str">
        <f>+IF(Typeofrisk1&gt;0,Typeofrisk1,"")</f>
        <v>Development</v>
      </c>
      <c r="E12" s="185" t="str">
        <f>IF(Risk1&gt;0,Risk1,"")</f>
        <v xml:space="preserve">Lack of engagement of youth in communities due to cultural and ethnic imbalance </v>
      </c>
      <c r="F12" s="188">
        <f>+Value1</f>
        <v>2</v>
      </c>
      <c r="G12" s="188" t="str">
        <f>+Level1</f>
        <v>Medium</v>
      </c>
      <c r="H12" s="107"/>
      <c r="I12" s="291"/>
      <c r="J12" s="40"/>
      <c r="K12" s="292"/>
      <c r="L12" s="108"/>
      <c r="M12" s="291"/>
      <c r="N12" s="14"/>
      <c r="O12" s="40"/>
      <c r="P12" s="292"/>
      <c r="Q12" s="23"/>
    </row>
    <row r="13" spans="2:17" ht="38.25" x14ac:dyDescent="0.2">
      <c r="B13" s="183"/>
      <c r="C13" s="195"/>
      <c r="D13" s="205"/>
      <c r="E13" s="186"/>
      <c r="F13" s="189"/>
      <c r="G13" s="189"/>
      <c r="H13" s="111" t="s">
        <v>275</v>
      </c>
      <c r="I13" s="112" t="s">
        <v>274</v>
      </c>
      <c r="J13" s="9"/>
      <c r="K13" s="292" t="s">
        <v>281</v>
      </c>
      <c r="L13" s="108" t="s">
        <v>233</v>
      </c>
      <c r="M13" s="291" t="s">
        <v>269</v>
      </c>
      <c r="N13" s="14" t="s">
        <v>180</v>
      </c>
      <c r="O13" s="291" t="s">
        <v>272</v>
      </c>
      <c r="P13" s="292" t="s">
        <v>271</v>
      </c>
      <c r="Q13" s="24"/>
    </row>
    <row r="14" spans="2:17" ht="114.75" x14ac:dyDescent="0.2">
      <c r="B14" s="113">
        <v>2</v>
      </c>
      <c r="C14" s="117" t="str">
        <f>IF(Component2&gt;0,Component2,"")</f>
        <v>Component 1</v>
      </c>
      <c r="D14" s="114" t="str">
        <f>+IF(Typeofrisk2&gt;0,Typeofrisk2,"")</f>
        <v>Development</v>
      </c>
      <c r="E14" s="114" t="str">
        <f>IF(Risk2&gt;0,Risk2,"")</f>
        <v>Lack of confidence in government and perception of limited effectiveness of Government Programs; Uncoordinated initiatives ongoing in communities</v>
      </c>
      <c r="F14" s="115">
        <f>+Value2</f>
        <v>2</v>
      </c>
      <c r="G14" s="115" t="str">
        <f>+Level2</f>
        <v>Medium</v>
      </c>
      <c r="H14" s="107" t="s">
        <v>267</v>
      </c>
      <c r="I14" s="291" t="s">
        <v>268</v>
      </c>
      <c r="J14" s="109"/>
      <c r="K14" s="292" t="s">
        <v>281</v>
      </c>
      <c r="L14" s="108" t="s">
        <v>233</v>
      </c>
      <c r="M14" s="291" t="s">
        <v>269</v>
      </c>
      <c r="N14" s="14" t="s">
        <v>180</v>
      </c>
      <c r="O14" s="291" t="s">
        <v>273</v>
      </c>
      <c r="P14" s="292" t="s">
        <v>271</v>
      </c>
      <c r="Q14" s="24"/>
    </row>
    <row r="15" spans="2:17" x14ac:dyDescent="0.2">
      <c r="B15" s="182">
        <v>3</v>
      </c>
      <c r="C15" s="194" t="str">
        <f>IF(Component3&gt;0,Component3,"")</f>
        <v>Component 1</v>
      </c>
      <c r="D15" s="185" t="str">
        <f>+IF(Typeofrisk3&gt;0,Typeofrisk3,"")</f>
        <v>Development</v>
      </c>
      <c r="E15" s="185" t="str">
        <f>IF(Risk3&gt;0,Risk3,"")</f>
        <v>Population (along with crime and violence) shifting around the country</v>
      </c>
      <c r="F15" s="188">
        <f>+Value3</f>
        <v>1</v>
      </c>
      <c r="G15" s="188" t="str">
        <f>+Level3</f>
        <v>Low</v>
      </c>
      <c r="H15" s="107"/>
      <c r="I15" s="9"/>
      <c r="J15" s="9"/>
      <c r="K15" s="10"/>
      <c r="L15" s="10"/>
      <c r="M15" s="9"/>
      <c r="N15" s="14"/>
      <c r="O15" s="9"/>
      <c r="P15" s="10"/>
      <c r="Q15" s="24"/>
    </row>
    <row r="16" spans="2:17" x14ac:dyDescent="0.2">
      <c r="B16" s="183"/>
      <c r="C16" s="195"/>
      <c r="D16" s="186"/>
      <c r="E16" s="186"/>
      <c r="F16" s="189"/>
      <c r="G16" s="189"/>
      <c r="H16" s="5"/>
      <c r="I16" s="9"/>
      <c r="J16" s="9"/>
      <c r="K16" s="10"/>
      <c r="L16" s="10"/>
      <c r="M16" s="9"/>
      <c r="N16" s="14"/>
      <c r="O16" s="9"/>
      <c r="P16" s="10"/>
      <c r="Q16" s="24"/>
    </row>
    <row r="17" spans="2:17" x14ac:dyDescent="0.2">
      <c r="B17" s="183"/>
      <c r="C17" s="195"/>
      <c r="D17" s="186"/>
      <c r="E17" s="186"/>
      <c r="F17" s="189"/>
      <c r="G17" s="189"/>
      <c r="H17" s="5"/>
      <c r="I17" s="9"/>
      <c r="J17" s="9"/>
      <c r="K17" s="10"/>
      <c r="L17" s="10"/>
      <c r="M17" s="9"/>
      <c r="N17" s="14"/>
      <c r="O17" s="9"/>
      <c r="P17" s="10"/>
      <c r="Q17" s="24"/>
    </row>
    <row r="18" spans="2:17" x14ac:dyDescent="0.2">
      <c r="B18" s="192"/>
      <c r="C18" s="196"/>
      <c r="D18" s="193"/>
      <c r="E18" s="193"/>
      <c r="F18" s="191"/>
      <c r="G18" s="191"/>
      <c r="H18" s="5"/>
      <c r="I18" s="9"/>
      <c r="J18" s="9"/>
      <c r="K18" s="10"/>
      <c r="L18" s="10"/>
      <c r="M18" s="9"/>
      <c r="N18" s="14"/>
      <c r="O18" s="9"/>
      <c r="P18" s="10"/>
      <c r="Q18" s="24"/>
    </row>
    <row r="19" spans="2:17" x14ac:dyDescent="0.2">
      <c r="B19" s="182">
        <v>4</v>
      </c>
      <c r="C19" s="194" t="str">
        <f>IF(Component4&gt;0,Component4,"")</f>
        <v>Component 1</v>
      </c>
      <c r="D19" s="185" t="str">
        <f>+IF(Typeofrisk4&gt;0,Typeofrisk4,"")</f>
        <v>Development</v>
      </c>
      <c r="E19" s="185" t="str">
        <f>IF(Risk4&gt;0,Risk4,"")</f>
        <v xml:space="preserve">Safety concerns within communities </v>
      </c>
      <c r="F19" s="188">
        <f>+Value4</f>
        <v>1</v>
      </c>
      <c r="G19" s="188" t="str">
        <f>+Level4</f>
        <v>Low</v>
      </c>
      <c r="H19" s="107"/>
      <c r="I19" s="112"/>
      <c r="J19" s="109"/>
      <c r="K19" s="10"/>
      <c r="L19" s="110"/>
      <c r="M19" s="9"/>
      <c r="N19" s="14"/>
      <c r="O19" s="112"/>
      <c r="P19" s="10"/>
      <c r="Q19" s="24"/>
    </row>
    <row r="20" spans="2:17" x14ac:dyDescent="0.2">
      <c r="B20" s="183"/>
      <c r="C20" s="195"/>
      <c r="D20" s="186"/>
      <c r="E20" s="186"/>
      <c r="F20" s="189"/>
      <c r="G20" s="189"/>
      <c r="H20" s="4"/>
      <c r="I20" s="9"/>
      <c r="J20" s="9"/>
      <c r="K20" s="10"/>
      <c r="L20" s="10"/>
      <c r="M20" s="9"/>
      <c r="N20" s="14"/>
      <c r="O20" s="9"/>
      <c r="P20" s="10"/>
      <c r="Q20" s="24"/>
    </row>
    <row r="21" spans="2:17" x14ac:dyDescent="0.2">
      <c r="B21" s="183"/>
      <c r="C21" s="195"/>
      <c r="D21" s="186"/>
      <c r="E21" s="186"/>
      <c r="F21" s="189"/>
      <c r="G21" s="189"/>
      <c r="H21" s="4"/>
      <c r="I21" s="9"/>
      <c r="J21" s="9"/>
      <c r="K21" s="10"/>
      <c r="L21" s="10"/>
      <c r="M21" s="9"/>
      <c r="N21" s="14"/>
      <c r="O21" s="9"/>
      <c r="P21" s="10"/>
      <c r="Q21" s="24"/>
    </row>
    <row r="22" spans="2:17" x14ac:dyDescent="0.2">
      <c r="B22" s="192"/>
      <c r="C22" s="196"/>
      <c r="D22" s="193"/>
      <c r="E22" s="193"/>
      <c r="F22" s="191"/>
      <c r="G22" s="191"/>
      <c r="H22" s="4"/>
      <c r="I22" s="9"/>
      <c r="J22" s="9"/>
      <c r="K22" s="10"/>
      <c r="L22" s="10"/>
      <c r="M22" s="9"/>
      <c r="N22" s="14"/>
      <c r="O22" s="9"/>
      <c r="P22" s="10"/>
      <c r="Q22" s="24"/>
    </row>
    <row r="23" spans="2:17" x14ac:dyDescent="0.2">
      <c r="B23" s="182">
        <v>5</v>
      </c>
      <c r="C23" s="194" t="str">
        <f>IF(Component5&gt;0,Component5,"")</f>
        <v>Component 1</v>
      </c>
      <c r="D23" s="185" t="str">
        <f>+IF(Typeofrisk5&gt;0,Typeofrisk5,"")</f>
        <v>Development</v>
      </c>
      <c r="E23" s="185" t="str">
        <f>IF(Risk5&gt;0,Risk5,"")</f>
        <v>Relying exclusively on traditional criteria for selection of participating communities (not taking into account special vulnerabilities of indigenous communities)</v>
      </c>
      <c r="F23" s="188">
        <f>+Value5</f>
        <v>1</v>
      </c>
      <c r="G23" s="188" t="str">
        <f>+Level5</f>
        <v>Low</v>
      </c>
      <c r="H23" s="22"/>
      <c r="I23" s="9"/>
      <c r="J23" s="9"/>
      <c r="K23" s="10"/>
      <c r="L23" s="10"/>
      <c r="M23" s="9"/>
      <c r="N23" s="14"/>
      <c r="O23" s="9"/>
      <c r="P23" s="10"/>
      <c r="Q23" s="24"/>
    </row>
    <row r="24" spans="2:17" x14ac:dyDescent="0.2">
      <c r="B24" s="183"/>
      <c r="C24" s="195"/>
      <c r="D24" s="186"/>
      <c r="E24" s="186"/>
      <c r="F24" s="189"/>
      <c r="G24" s="189"/>
      <c r="H24" s="3"/>
      <c r="I24" s="9"/>
      <c r="J24" s="9"/>
      <c r="K24" s="10"/>
      <c r="L24" s="10"/>
      <c r="M24" s="9"/>
      <c r="N24" s="14"/>
      <c r="O24" s="9"/>
      <c r="P24" s="10"/>
      <c r="Q24" s="24"/>
    </row>
    <row r="25" spans="2:17" x14ac:dyDescent="0.2">
      <c r="B25" s="183"/>
      <c r="C25" s="195"/>
      <c r="D25" s="186"/>
      <c r="E25" s="186"/>
      <c r="F25" s="189"/>
      <c r="G25" s="189"/>
      <c r="H25" s="3"/>
      <c r="I25" s="9"/>
      <c r="J25" s="9"/>
      <c r="K25" s="10"/>
      <c r="L25" s="10"/>
      <c r="M25" s="9"/>
      <c r="N25" s="14"/>
      <c r="O25" s="9"/>
      <c r="P25" s="10"/>
      <c r="Q25" s="24"/>
    </row>
    <row r="26" spans="2:17" x14ac:dyDescent="0.2">
      <c r="B26" s="192"/>
      <c r="C26" s="196"/>
      <c r="D26" s="193"/>
      <c r="E26" s="193"/>
      <c r="F26" s="191"/>
      <c r="G26" s="191"/>
      <c r="H26" s="3"/>
      <c r="I26" s="9"/>
      <c r="J26" s="9"/>
      <c r="K26" s="10"/>
      <c r="L26" s="10"/>
      <c r="M26" s="9"/>
      <c r="N26" s="14"/>
      <c r="O26" s="9"/>
      <c r="P26" s="10"/>
      <c r="Q26" s="24"/>
    </row>
    <row r="27" spans="2:17" ht="52.5" customHeight="1" x14ac:dyDescent="0.2">
      <c r="B27" s="116">
        <v>6</v>
      </c>
      <c r="C27" s="117" t="str">
        <f>IF(Component6&gt;0,Component6,"")</f>
        <v>Component 1</v>
      </c>
      <c r="D27" s="114" t="str">
        <f>+IF(Typeofrisk6&gt;0,Typeofrisk6,"")</f>
        <v>Macroeconomic and Fiscal Sustainability</v>
      </c>
      <c r="E27" s="114" t="str">
        <f>IF(Risk6&gt;0,Risk6,"")</f>
        <v>Sustainability of community interventions</v>
      </c>
      <c r="F27" s="115">
        <f>+Value6</f>
        <v>2</v>
      </c>
      <c r="G27" s="115" t="str">
        <f>+Level6</f>
        <v>Medium</v>
      </c>
      <c r="H27" s="111" t="s">
        <v>275</v>
      </c>
      <c r="I27" s="112" t="s">
        <v>278</v>
      </c>
      <c r="J27" s="9"/>
      <c r="K27" s="292" t="s">
        <v>281</v>
      </c>
      <c r="L27" s="108" t="s">
        <v>233</v>
      </c>
      <c r="M27" s="291" t="s">
        <v>269</v>
      </c>
      <c r="N27" s="14" t="s">
        <v>180</v>
      </c>
      <c r="O27" s="291" t="s">
        <v>272</v>
      </c>
      <c r="P27" s="294" t="s">
        <v>281</v>
      </c>
      <c r="Q27" s="24"/>
    </row>
    <row r="28" spans="2:17" ht="79.5" customHeight="1" x14ac:dyDescent="0.2">
      <c r="B28" s="182">
        <v>7</v>
      </c>
      <c r="C28" s="194" t="str">
        <f>IF(Component7&gt;0,Component7,"")</f>
        <v>Component 2</v>
      </c>
      <c r="D28" s="185" t="str">
        <f>+IF(Typeofrisk7&gt;0,Typeofrisk7,"")</f>
        <v>Reputation</v>
      </c>
      <c r="E28" s="185" t="str">
        <f>IF(Risk7&gt;0,Risk7,"")</f>
        <v xml:space="preserve">Misconduct of Police in dealing with communities; lack of trust in Police </v>
      </c>
      <c r="F28" s="188">
        <f>+Value7</f>
        <v>3</v>
      </c>
      <c r="G28" s="188" t="str">
        <f>+Level7</f>
        <v>High</v>
      </c>
      <c r="H28" s="111" t="s">
        <v>276</v>
      </c>
      <c r="I28" s="112" t="s">
        <v>280</v>
      </c>
      <c r="J28" s="9"/>
      <c r="K28" s="292" t="s">
        <v>281</v>
      </c>
      <c r="L28" s="108" t="s">
        <v>233</v>
      </c>
      <c r="M28" s="291" t="s">
        <v>269</v>
      </c>
      <c r="N28" s="14" t="s">
        <v>180</v>
      </c>
      <c r="O28" s="112" t="s">
        <v>283</v>
      </c>
      <c r="P28" s="294" t="s">
        <v>281</v>
      </c>
      <c r="Q28" s="24"/>
    </row>
    <row r="29" spans="2:17" ht="84" customHeight="1" x14ac:dyDescent="0.2">
      <c r="B29" s="183"/>
      <c r="C29" s="195"/>
      <c r="D29" s="186"/>
      <c r="E29" s="186"/>
      <c r="F29" s="189"/>
      <c r="G29" s="189"/>
      <c r="H29" s="293" t="s">
        <v>277</v>
      </c>
      <c r="I29" s="112" t="s">
        <v>279</v>
      </c>
      <c r="J29" s="9"/>
      <c r="K29" s="292" t="s">
        <v>281</v>
      </c>
      <c r="L29" s="108" t="s">
        <v>233</v>
      </c>
      <c r="M29" s="291" t="s">
        <v>269</v>
      </c>
      <c r="N29" s="14" t="s">
        <v>180</v>
      </c>
      <c r="O29" s="112" t="s">
        <v>282</v>
      </c>
      <c r="P29" s="294" t="s">
        <v>281</v>
      </c>
      <c r="Q29" s="24"/>
    </row>
    <row r="30" spans="2:17" ht="76.5" x14ac:dyDescent="0.2">
      <c r="B30" s="183"/>
      <c r="C30" s="195"/>
      <c r="D30" s="186"/>
      <c r="E30" s="186"/>
      <c r="F30" s="189"/>
      <c r="G30" s="189"/>
      <c r="H30" s="293" t="s">
        <v>284</v>
      </c>
      <c r="I30" s="112" t="s">
        <v>285</v>
      </c>
      <c r="J30" s="9"/>
      <c r="K30" s="292" t="s">
        <v>281</v>
      </c>
      <c r="L30" s="108" t="s">
        <v>233</v>
      </c>
      <c r="M30" s="291" t="s">
        <v>269</v>
      </c>
      <c r="N30" s="14" t="s">
        <v>180</v>
      </c>
      <c r="O30" s="112" t="s">
        <v>286</v>
      </c>
      <c r="P30" s="294" t="s">
        <v>281</v>
      </c>
      <c r="Q30" s="24"/>
    </row>
    <row r="31" spans="2:17" x14ac:dyDescent="0.2">
      <c r="B31" s="182">
        <v>8</v>
      </c>
      <c r="C31" s="194" t="str">
        <f>IF(Component8&gt;0,Component8,"")</f>
        <v>Component 2</v>
      </c>
      <c r="D31" s="185" t="str">
        <f>+IF(Typeofrisk8&gt;0,Typeofrisk8,"")</f>
        <v>Development</v>
      </c>
      <c r="E31" s="185" t="str">
        <f>IF(Risk8&gt;0,Risk8,"")</f>
        <v>Low confidence in institutions</v>
      </c>
      <c r="F31" s="188">
        <f>+Value8</f>
        <v>2</v>
      </c>
      <c r="G31" s="188" t="str">
        <f>+Level8</f>
        <v>Medium</v>
      </c>
      <c r="H31" s="22"/>
      <c r="I31" s="118"/>
      <c r="J31" s="9"/>
      <c r="K31" s="119"/>
      <c r="L31" s="110"/>
      <c r="M31" s="112"/>
      <c r="N31" s="112"/>
      <c r="O31" s="112"/>
      <c r="P31" s="119" t="s">
        <v>234</v>
      </c>
      <c r="Q31" s="24"/>
    </row>
    <row r="32" spans="2:17" x14ac:dyDescent="0.2">
      <c r="B32" s="183"/>
      <c r="C32" s="195"/>
      <c r="D32" s="186"/>
      <c r="E32" s="186"/>
      <c r="F32" s="189"/>
      <c r="G32" s="189"/>
      <c r="H32" s="3"/>
      <c r="I32" s="9"/>
      <c r="J32" s="9"/>
      <c r="K32" s="10"/>
      <c r="L32" s="10"/>
      <c r="M32" s="9"/>
      <c r="N32" s="14"/>
      <c r="O32" s="9"/>
      <c r="P32" s="10"/>
      <c r="Q32" s="24"/>
    </row>
    <row r="33" spans="2:17" x14ac:dyDescent="0.2">
      <c r="B33" s="183"/>
      <c r="C33" s="195"/>
      <c r="D33" s="186"/>
      <c r="E33" s="186"/>
      <c r="F33" s="189"/>
      <c r="G33" s="189"/>
      <c r="H33" s="3"/>
      <c r="I33" s="9"/>
      <c r="J33" s="9"/>
      <c r="K33" s="10"/>
      <c r="L33" s="10"/>
      <c r="M33" s="9"/>
      <c r="N33" s="14"/>
      <c r="O33" s="9"/>
      <c r="P33" s="10"/>
      <c r="Q33" s="24"/>
    </row>
    <row r="34" spans="2:17" x14ac:dyDescent="0.2">
      <c r="B34" s="192"/>
      <c r="C34" s="196"/>
      <c r="D34" s="193"/>
      <c r="E34" s="193"/>
      <c r="F34" s="191"/>
      <c r="G34" s="191"/>
      <c r="H34" s="3"/>
      <c r="I34" s="9"/>
      <c r="J34" s="9"/>
      <c r="K34" s="10"/>
      <c r="L34" s="10"/>
      <c r="M34" s="9"/>
      <c r="N34" s="14"/>
      <c r="O34" s="9"/>
      <c r="P34" s="10"/>
      <c r="Q34" s="24"/>
    </row>
    <row r="35" spans="2:17" x14ac:dyDescent="0.2">
      <c r="B35" s="182">
        <v>9</v>
      </c>
      <c r="C35" s="194" t="str">
        <f>IF(Component9&gt;0,Component9,"")</f>
        <v>Component 2 and Component 4</v>
      </c>
      <c r="D35" s="185" t="str">
        <f>+IF(Typeofrisk9&gt;0,Typeofrisk9,"")</f>
        <v>Public Management and Governance</v>
      </c>
      <c r="E35" s="185" t="str">
        <f>IF(Risk9&gt;0,Risk9,"")</f>
        <v>Political interference in the administration of human resources</v>
      </c>
      <c r="F35" s="188">
        <f>+Value9</f>
        <v>1</v>
      </c>
      <c r="G35" s="188" t="str">
        <f>+Level9</f>
        <v>Low</v>
      </c>
      <c r="H35" s="22"/>
      <c r="I35" s="9"/>
      <c r="J35" s="9"/>
      <c r="K35" s="10"/>
      <c r="L35" s="10"/>
      <c r="M35" s="9"/>
      <c r="N35" s="14"/>
      <c r="O35" s="9"/>
      <c r="P35" s="10"/>
      <c r="Q35" s="24"/>
    </row>
    <row r="36" spans="2:17" x14ac:dyDescent="0.2">
      <c r="B36" s="183"/>
      <c r="C36" s="195"/>
      <c r="D36" s="186"/>
      <c r="E36" s="186"/>
      <c r="F36" s="189"/>
      <c r="G36" s="189"/>
      <c r="H36" s="3"/>
      <c r="I36" s="9"/>
      <c r="J36" s="9"/>
      <c r="K36" s="10"/>
      <c r="L36" s="10"/>
      <c r="M36" s="9"/>
      <c r="N36" s="14"/>
      <c r="O36" s="9"/>
      <c r="P36" s="10"/>
      <c r="Q36" s="24"/>
    </row>
    <row r="37" spans="2:17" x14ac:dyDescent="0.2">
      <c r="B37" s="183"/>
      <c r="C37" s="195"/>
      <c r="D37" s="186"/>
      <c r="E37" s="186"/>
      <c r="F37" s="189"/>
      <c r="G37" s="189"/>
      <c r="H37" s="3"/>
      <c r="I37" s="9"/>
      <c r="J37" s="9"/>
      <c r="K37" s="10"/>
      <c r="L37" s="10"/>
      <c r="M37" s="9"/>
      <c r="N37" s="14"/>
      <c r="O37" s="9"/>
      <c r="P37" s="10"/>
      <c r="Q37" s="24"/>
    </row>
    <row r="38" spans="2:17" x14ac:dyDescent="0.2">
      <c r="B38" s="192"/>
      <c r="C38" s="196"/>
      <c r="D38" s="193"/>
      <c r="E38" s="193"/>
      <c r="F38" s="191"/>
      <c r="G38" s="191"/>
      <c r="H38" s="3"/>
      <c r="I38" s="9"/>
      <c r="J38" s="9"/>
      <c r="K38" s="10"/>
      <c r="L38" s="10"/>
      <c r="M38" s="9"/>
      <c r="N38" s="14"/>
      <c r="O38" s="9"/>
      <c r="P38" s="10"/>
      <c r="Q38" s="24"/>
    </row>
    <row r="39" spans="2:17" x14ac:dyDescent="0.2">
      <c r="B39" s="182">
        <v>10</v>
      </c>
      <c r="C39" s="194" t="str">
        <f>IF(Component10&gt;0,Component10,"")</f>
        <v>Component 3</v>
      </c>
      <c r="D39" s="185" t="str">
        <f>+IF(Typeofrisk10&gt;0,Typeofrisk10,"")</f>
        <v>Public Management and Governance</v>
      </c>
      <c r="E39" s="185" t="str">
        <f>IF(Risk10&gt;0,Risk10,"")</f>
        <v>Public backslash and resistance to corrective approach</v>
      </c>
      <c r="F39" s="188">
        <f>+Value10</f>
        <v>1</v>
      </c>
      <c r="G39" s="188" t="str">
        <f>+Level10</f>
        <v>Low</v>
      </c>
      <c r="H39" s="22"/>
      <c r="I39" s="9"/>
      <c r="J39" s="9"/>
      <c r="K39" s="10"/>
      <c r="L39" s="10"/>
      <c r="M39" s="9"/>
      <c r="N39" s="14"/>
      <c r="O39" s="9"/>
      <c r="P39" s="10"/>
      <c r="Q39" s="24"/>
    </row>
    <row r="40" spans="2:17" x14ac:dyDescent="0.2">
      <c r="B40" s="183"/>
      <c r="C40" s="195"/>
      <c r="D40" s="186"/>
      <c r="E40" s="186"/>
      <c r="F40" s="189"/>
      <c r="G40" s="189"/>
      <c r="H40" s="3"/>
      <c r="I40" s="9"/>
      <c r="J40" s="9"/>
      <c r="K40" s="10"/>
      <c r="L40" s="10"/>
      <c r="M40" s="9"/>
      <c r="N40" s="14"/>
      <c r="O40" s="9"/>
      <c r="P40" s="10"/>
      <c r="Q40" s="24"/>
    </row>
    <row r="41" spans="2:17" x14ac:dyDescent="0.2">
      <c r="B41" s="183"/>
      <c r="C41" s="195"/>
      <c r="D41" s="186"/>
      <c r="E41" s="186"/>
      <c r="F41" s="189"/>
      <c r="G41" s="189"/>
      <c r="H41" s="3"/>
      <c r="I41" s="9"/>
      <c r="J41" s="9"/>
      <c r="K41" s="10"/>
      <c r="L41" s="10"/>
      <c r="M41" s="9"/>
      <c r="N41" s="14"/>
      <c r="O41" s="9"/>
      <c r="P41" s="10"/>
      <c r="Q41" s="24"/>
    </row>
    <row r="42" spans="2:17" x14ac:dyDescent="0.2">
      <c r="B42" s="192"/>
      <c r="C42" s="196"/>
      <c r="D42" s="193"/>
      <c r="E42" s="193"/>
      <c r="F42" s="191"/>
      <c r="G42" s="191"/>
      <c r="H42" s="3"/>
      <c r="I42" s="9"/>
      <c r="J42" s="9"/>
      <c r="K42" s="10"/>
      <c r="L42" s="10"/>
      <c r="M42" s="9"/>
      <c r="N42" s="14"/>
      <c r="O42" s="9"/>
      <c r="P42" s="10"/>
      <c r="Q42" s="24"/>
    </row>
    <row r="43" spans="2:17" x14ac:dyDescent="0.2">
      <c r="B43" s="182">
        <v>11</v>
      </c>
      <c r="C43" s="194" t="str">
        <f>IF(Component11&gt;0,Component11,"")</f>
        <v>Component 3</v>
      </c>
      <c r="D43" s="185" t="str">
        <f>+IF(Typeofrisk11&gt;0,Typeofrisk11,"")</f>
        <v>Monitoring and Accountability</v>
      </c>
      <c r="E43" s="185" t="str">
        <f>IF(Risk11&gt;0,Risk11,"")</f>
        <v xml:space="preserve">Slow up-take of re-integration program </v>
      </c>
      <c r="F43" s="188">
        <f>+Value11</f>
        <v>2</v>
      </c>
      <c r="G43" s="188" t="str">
        <f>+Level11</f>
        <v>Medium</v>
      </c>
      <c r="H43" s="22"/>
      <c r="I43" s="9"/>
      <c r="J43" s="9"/>
      <c r="K43" s="10"/>
      <c r="L43" s="10"/>
      <c r="M43" s="9"/>
      <c r="N43" s="14"/>
      <c r="O43" s="9"/>
      <c r="P43" s="10"/>
      <c r="Q43" s="24"/>
    </row>
    <row r="44" spans="2:17" x14ac:dyDescent="0.2">
      <c r="B44" s="183"/>
      <c r="C44" s="195"/>
      <c r="D44" s="186"/>
      <c r="E44" s="186"/>
      <c r="F44" s="189"/>
      <c r="G44" s="189"/>
      <c r="H44" s="3"/>
      <c r="I44" s="9"/>
      <c r="J44" s="9"/>
      <c r="K44" s="10"/>
      <c r="L44" s="10"/>
      <c r="M44" s="9"/>
      <c r="N44" s="14"/>
      <c r="O44" s="9"/>
      <c r="P44" s="10"/>
      <c r="Q44" s="24"/>
    </row>
    <row r="45" spans="2:17" x14ac:dyDescent="0.2">
      <c r="B45" s="183"/>
      <c r="C45" s="195"/>
      <c r="D45" s="186"/>
      <c r="E45" s="186"/>
      <c r="F45" s="189"/>
      <c r="G45" s="189"/>
      <c r="H45" s="3"/>
      <c r="I45" s="9"/>
      <c r="J45" s="9"/>
      <c r="K45" s="10"/>
      <c r="L45" s="10"/>
      <c r="M45" s="9"/>
      <c r="N45" s="14"/>
      <c r="O45" s="9"/>
      <c r="P45" s="10"/>
      <c r="Q45" s="24"/>
    </row>
    <row r="46" spans="2:17" x14ac:dyDescent="0.2">
      <c r="B46" s="192"/>
      <c r="C46" s="196"/>
      <c r="D46" s="193"/>
      <c r="E46" s="193"/>
      <c r="F46" s="191"/>
      <c r="G46" s="191"/>
      <c r="H46" s="3"/>
      <c r="I46" s="9"/>
      <c r="J46" s="9"/>
      <c r="K46" s="10"/>
      <c r="L46" s="10"/>
      <c r="M46" s="9"/>
      <c r="N46" s="14"/>
      <c r="O46" s="9"/>
      <c r="P46" s="10"/>
      <c r="Q46" s="24"/>
    </row>
    <row r="47" spans="2:17" x14ac:dyDescent="0.2">
      <c r="B47" s="182">
        <v>12</v>
      </c>
      <c r="C47" s="194" t="str">
        <f>IF(Component12&gt;0,Component12,"")</f>
        <v>Component 4</v>
      </c>
      <c r="D47" s="185" t="str">
        <f>+IF(Typeofrisk12&gt;0,Typeofrisk12,"")</f>
        <v>Monitoring and Accountability</v>
      </c>
      <c r="E47" s="185" t="str">
        <f>IF(Risk12&gt;0,Risk12,"")</f>
        <v>Limited dissemination of data</v>
      </c>
      <c r="F47" s="188">
        <f>+Value12</f>
        <v>2</v>
      </c>
      <c r="G47" s="188" t="str">
        <f>+Level12</f>
        <v>Medium</v>
      </c>
      <c r="H47" s="22"/>
      <c r="I47" s="9"/>
      <c r="J47" s="9"/>
      <c r="K47" s="10"/>
      <c r="L47" s="10"/>
      <c r="M47" s="9"/>
      <c r="N47" s="14"/>
      <c r="O47" s="9"/>
      <c r="P47" s="10"/>
      <c r="Q47" s="24"/>
    </row>
    <row r="48" spans="2:17" x14ac:dyDescent="0.2">
      <c r="B48" s="183"/>
      <c r="C48" s="195"/>
      <c r="D48" s="186"/>
      <c r="E48" s="186"/>
      <c r="F48" s="189"/>
      <c r="G48" s="189"/>
      <c r="H48" s="3"/>
      <c r="I48" s="9"/>
      <c r="J48" s="9"/>
      <c r="K48" s="10"/>
      <c r="L48" s="10"/>
      <c r="M48" s="9"/>
      <c r="N48" s="14"/>
      <c r="O48" s="9"/>
      <c r="P48" s="10"/>
      <c r="Q48" s="24"/>
    </row>
    <row r="49" spans="2:17" x14ac:dyDescent="0.2">
      <c r="B49" s="183"/>
      <c r="C49" s="195"/>
      <c r="D49" s="186"/>
      <c r="E49" s="186"/>
      <c r="F49" s="189"/>
      <c r="G49" s="189"/>
      <c r="H49" s="3"/>
      <c r="I49" s="9"/>
      <c r="J49" s="9"/>
      <c r="K49" s="10"/>
      <c r="L49" s="10"/>
      <c r="M49" s="9"/>
      <c r="N49" s="14"/>
      <c r="O49" s="9"/>
      <c r="P49" s="10"/>
      <c r="Q49" s="24"/>
    </row>
    <row r="50" spans="2:17" x14ac:dyDescent="0.2">
      <c r="B50" s="192"/>
      <c r="C50" s="196"/>
      <c r="D50" s="193"/>
      <c r="E50" s="193"/>
      <c r="F50" s="191"/>
      <c r="G50" s="191"/>
      <c r="H50" s="3"/>
      <c r="I50" s="9"/>
      <c r="J50" s="9"/>
      <c r="K50" s="10"/>
      <c r="L50" s="10"/>
      <c r="M50" s="9"/>
      <c r="N50" s="14"/>
      <c r="O50" s="9"/>
      <c r="P50" s="10"/>
      <c r="Q50" s="24"/>
    </row>
    <row r="51" spans="2:17" x14ac:dyDescent="0.2">
      <c r="B51" s="182">
        <v>14</v>
      </c>
      <c r="C51" s="194" t="str">
        <f>IF(Component14&gt;0,Component14,"")</f>
        <v>Cross Cutting</v>
      </c>
      <c r="D51" s="185" t="str">
        <f>+IF(Typeofrisk14&gt;0,Typeofrisk14,"")</f>
        <v>Reputation</v>
      </c>
      <c r="E51" s="185" t="str">
        <f>IF(Risk14&gt;0,Risk14,"")</f>
        <v>Negative perception of Program</v>
      </c>
      <c r="F51" s="188">
        <f>+Value14</f>
        <v>2</v>
      </c>
      <c r="G51" s="188" t="str">
        <f>+Level14</f>
        <v>Medium</v>
      </c>
      <c r="H51" s="22"/>
      <c r="I51" s="9"/>
      <c r="J51" s="9"/>
      <c r="K51" s="10"/>
      <c r="L51" s="10"/>
      <c r="M51" s="9"/>
      <c r="N51" s="14"/>
      <c r="O51" s="9"/>
      <c r="P51" s="10"/>
      <c r="Q51" s="24"/>
    </row>
    <row r="52" spans="2:17" x14ac:dyDescent="0.2">
      <c r="B52" s="183"/>
      <c r="C52" s="195"/>
      <c r="D52" s="186"/>
      <c r="E52" s="186"/>
      <c r="F52" s="189"/>
      <c r="G52" s="189"/>
      <c r="H52" s="3"/>
      <c r="I52" s="9"/>
      <c r="J52" s="9"/>
      <c r="K52" s="10"/>
      <c r="L52" s="10"/>
      <c r="M52" s="9"/>
      <c r="N52" s="14"/>
      <c r="O52" s="9"/>
      <c r="P52" s="10"/>
      <c r="Q52" s="24"/>
    </row>
    <row r="53" spans="2:17" x14ac:dyDescent="0.2">
      <c r="B53" s="183"/>
      <c r="C53" s="195"/>
      <c r="D53" s="186"/>
      <c r="E53" s="186"/>
      <c r="F53" s="189"/>
      <c r="G53" s="189"/>
      <c r="H53" s="3"/>
      <c r="I53" s="9"/>
      <c r="J53" s="9"/>
      <c r="K53" s="10"/>
      <c r="L53" s="10"/>
      <c r="M53" s="9"/>
      <c r="N53" s="14"/>
      <c r="O53" s="9"/>
      <c r="P53" s="10"/>
      <c r="Q53" s="24"/>
    </row>
    <row r="54" spans="2:17" x14ac:dyDescent="0.2">
      <c r="B54" s="192"/>
      <c r="C54" s="196"/>
      <c r="D54" s="193"/>
      <c r="E54" s="193"/>
      <c r="F54" s="191"/>
      <c r="G54" s="191"/>
      <c r="H54" s="3"/>
      <c r="I54" s="9"/>
      <c r="J54" s="9"/>
      <c r="K54" s="10"/>
      <c r="L54" s="10"/>
      <c r="M54" s="9"/>
      <c r="N54" s="14"/>
      <c r="O54" s="9"/>
      <c r="P54" s="10"/>
      <c r="Q54" s="24"/>
    </row>
    <row r="55" spans="2:17" x14ac:dyDescent="0.2">
      <c r="B55" s="182">
        <v>15</v>
      </c>
      <c r="C55" s="194" t="str">
        <f>IF(Component15&gt;0,Component15,"")</f>
        <v>Cross Cutting</v>
      </c>
      <c r="D55" s="185" t="str">
        <f>+IF(Typeofrisk15&gt;0,Typeofrisk15,"")</f>
        <v>Fiduciary</v>
      </c>
      <c r="E55" s="185" t="str">
        <f>IF(Risk15&gt;0,Risk15,"")</f>
        <v>Lack of Transparency (reputation)</v>
      </c>
      <c r="F55" s="188">
        <f>+Value15</f>
        <v>3</v>
      </c>
      <c r="G55" s="188" t="str">
        <f>+Level15</f>
        <v>High</v>
      </c>
      <c r="H55" s="22"/>
      <c r="I55" s="9"/>
      <c r="J55" s="9"/>
      <c r="K55" s="10"/>
      <c r="L55" s="10"/>
      <c r="M55" s="9"/>
      <c r="N55" s="14"/>
      <c r="O55" s="9"/>
      <c r="P55" s="10"/>
      <c r="Q55" s="24"/>
    </row>
    <row r="56" spans="2:17" x14ac:dyDescent="0.2">
      <c r="B56" s="183"/>
      <c r="C56" s="195"/>
      <c r="D56" s="186"/>
      <c r="E56" s="186"/>
      <c r="F56" s="189"/>
      <c r="G56" s="189"/>
      <c r="H56" s="3"/>
      <c r="I56" s="9"/>
      <c r="J56" s="9"/>
      <c r="K56" s="10"/>
      <c r="L56" s="10"/>
      <c r="M56" s="9"/>
      <c r="N56" s="14"/>
      <c r="O56" s="9"/>
      <c r="P56" s="10"/>
      <c r="Q56" s="24"/>
    </row>
    <row r="57" spans="2:17" x14ac:dyDescent="0.2">
      <c r="B57" s="183"/>
      <c r="C57" s="195"/>
      <c r="D57" s="186"/>
      <c r="E57" s="186"/>
      <c r="F57" s="189"/>
      <c r="G57" s="189"/>
      <c r="H57" s="3"/>
      <c r="I57" s="9"/>
      <c r="J57" s="9"/>
      <c r="K57" s="10"/>
      <c r="L57" s="10"/>
      <c r="M57" s="9"/>
      <c r="N57" s="14"/>
      <c r="O57" s="9"/>
      <c r="P57" s="10"/>
      <c r="Q57" s="24"/>
    </row>
    <row r="58" spans="2:17" x14ac:dyDescent="0.2">
      <c r="B58" s="192"/>
      <c r="C58" s="196"/>
      <c r="D58" s="193"/>
      <c r="E58" s="193"/>
      <c r="F58" s="191"/>
      <c r="G58" s="191"/>
      <c r="H58" s="3"/>
      <c r="I58" s="9"/>
      <c r="J58" s="9"/>
      <c r="K58" s="10"/>
      <c r="L58" s="10"/>
      <c r="M58" s="9"/>
      <c r="N58" s="14"/>
      <c r="O58" s="9"/>
      <c r="P58" s="10"/>
      <c r="Q58" s="24"/>
    </row>
    <row r="59" spans="2:17" x14ac:dyDescent="0.2">
      <c r="B59" s="182">
        <v>16</v>
      </c>
      <c r="C59" s="194" t="str">
        <f>IF(Component16&gt;0,Component16,"")</f>
        <v/>
      </c>
      <c r="D59" s="185" t="str">
        <f>+IF(Typeofrisk16&gt;0,Typeofrisk16,"")</f>
        <v/>
      </c>
      <c r="E59" s="185" t="str">
        <f>IF(Risk16&gt;0,Risk16,"")</f>
        <v/>
      </c>
      <c r="F59" s="188">
        <f>+Value16</f>
        <v>3</v>
      </c>
      <c r="G59" s="188" t="str">
        <f>+Level16</f>
        <v>High</v>
      </c>
      <c r="H59" s="22"/>
      <c r="I59" s="9"/>
      <c r="J59" s="9"/>
      <c r="K59" s="10"/>
      <c r="L59" s="10"/>
      <c r="M59" s="9"/>
      <c r="N59" s="14"/>
      <c r="O59" s="9"/>
      <c r="P59" s="10"/>
      <c r="Q59" s="24"/>
    </row>
    <row r="60" spans="2:17" x14ac:dyDescent="0.2">
      <c r="B60" s="183"/>
      <c r="C60" s="195"/>
      <c r="D60" s="186"/>
      <c r="E60" s="186"/>
      <c r="F60" s="189"/>
      <c r="G60" s="189"/>
      <c r="H60" s="3"/>
      <c r="I60" s="9"/>
      <c r="J60" s="9"/>
      <c r="K60" s="10"/>
      <c r="L60" s="10"/>
      <c r="M60" s="9"/>
      <c r="N60" s="14"/>
      <c r="O60" s="9"/>
      <c r="P60" s="10"/>
      <c r="Q60" s="24"/>
    </row>
    <row r="61" spans="2:17" x14ac:dyDescent="0.2">
      <c r="B61" s="183"/>
      <c r="C61" s="195"/>
      <c r="D61" s="186"/>
      <c r="E61" s="186"/>
      <c r="F61" s="189"/>
      <c r="G61" s="189"/>
      <c r="H61" s="3"/>
      <c r="I61" s="9"/>
      <c r="J61" s="9"/>
      <c r="K61" s="10"/>
      <c r="L61" s="10"/>
      <c r="M61" s="9"/>
      <c r="N61" s="14"/>
      <c r="O61" s="9"/>
      <c r="P61" s="10"/>
      <c r="Q61" s="24"/>
    </row>
    <row r="62" spans="2:17" x14ac:dyDescent="0.2">
      <c r="B62" s="192"/>
      <c r="C62" s="196"/>
      <c r="D62" s="193"/>
      <c r="E62" s="193"/>
      <c r="F62" s="191"/>
      <c r="G62" s="191"/>
      <c r="H62" s="3"/>
      <c r="I62" s="9"/>
      <c r="J62" s="9"/>
      <c r="K62" s="10"/>
      <c r="L62" s="10"/>
      <c r="M62" s="9"/>
      <c r="N62" s="14"/>
      <c r="O62" s="9"/>
      <c r="P62" s="10"/>
      <c r="Q62" s="24"/>
    </row>
    <row r="63" spans="2:17" x14ac:dyDescent="0.2">
      <c r="B63" s="182">
        <v>17</v>
      </c>
      <c r="C63" s="194" t="str">
        <f>IF(Component17&gt;0,Component17,"")</f>
        <v/>
      </c>
      <c r="D63" s="185" t="str">
        <f>+IF(Typeofrisk17&gt;0,Typeofrisk17,"")</f>
        <v/>
      </c>
      <c r="E63" s="185" t="str">
        <f>IF(Risk17&gt;0,Risk17,"")</f>
        <v/>
      </c>
      <c r="F63" s="188">
        <f>+Value17</f>
        <v>3</v>
      </c>
      <c r="G63" s="188" t="str">
        <f>+Level17</f>
        <v>High</v>
      </c>
      <c r="H63" s="22"/>
      <c r="I63" s="9"/>
      <c r="J63" s="9"/>
      <c r="K63" s="10"/>
      <c r="L63" s="10"/>
      <c r="M63" s="9"/>
      <c r="N63" s="14"/>
      <c r="O63" s="9"/>
      <c r="P63" s="10"/>
      <c r="Q63" s="24"/>
    </row>
    <row r="64" spans="2:17" x14ac:dyDescent="0.2">
      <c r="B64" s="183"/>
      <c r="C64" s="195"/>
      <c r="D64" s="186"/>
      <c r="E64" s="186"/>
      <c r="F64" s="189"/>
      <c r="G64" s="189"/>
      <c r="H64" s="3"/>
      <c r="I64" s="9"/>
      <c r="J64" s="9"/>
      <c r="K64" s="10"/>
      <c r="L64" s="10"/>
      <c r="M64" s="9"/>
      <c r="N64" s="14"/>
      <c r="O64" s="9"/>
      <c r="P64" s="10"/>
      <c r="Q64" s="24"/>
    </row>
    <row r="65" spans="2:17" x14ac:dyDescent="0.2">
      <c r="B65" s="183"/>
      <c r="C65" s="195"/>
      <c r="D65" s="186"/>
      <c r="E65" s="186"/>
      <c r="F65" s="189"/>
      <c r="G65" s="189"/>
      <c r="H65" s="3"/>
      <c r="I65" s="9"/>
      <c r="J65" s="9"/>
      <c r="K65" s="10"/>
      <c r="L65" s="10"/>
      <c r="M65" s="9"/>
      <c r="N65" s="14"/>
      <c r="O65" s="9"/>
      <c r="P65" s="10"/>
      <c r="Q65" s="24"/>
    </row>
    <row r="66" spans="2:17" x14ac:dyDescent="0.2">
      <c r="B66" s="192"/>
      <c r="C66" s="196"/>
      <c r="D66" s="193"/>
      <c r="E66" s="193"/>
      <c r="F66" s="191"/>
      <c r="G66" s="191"/>
      <c r="H66" s="3"/>
      <c r="I66" s="9"/>
      <c r="J66" s="9"/>
      <c r="K66" s="10"/>
      <c r="L66" s="10"/>
      <c r="M66" s="9"/>
      <c r="N66" s="14"/>
      <c r="O66" s="9"/>
      <c r="P66" s="10"/>
      <c r="Q66" s="24"/>
    </row>
    <row r="67" spans="2:17" x14ac:dyDescent="0.2">
      <c r="B67" s="182">
        <v>18</v>
      </c>
      <c r="C67" s="194" t="str">
        <f>IF(Component18&gt;0,Component18,"")</f>
        <v/>
      </c>
      <c r="D67" s="185" t="str">
        <f>+IF(Typeofrisk18&gt;0,Typeofrisk18,"")</f>
        <v/>
      </c>
      <c r="E67" s="185" t="str">
        <f>IF(Risk18&gt;0,Risk18,"")</f>
        <v/>
      </c>
      <c r="F67" s="188">
        <f>+Value18</f>
        <v>3</v>
      </c>
      <c r="G67" s="188" t="str">
        <f>+Level18</f>
        <v>High</v>
      </c>
      <c r="H67" s="22"/>
      <c r="I67" s="9"/>
      <c r="J67" s="9"/>
      <c r="K67" s="10"/>
      <c r="L67" s="10"/>
      <c r="M67" s="9"/>
      <c r="N67" s="14"/>
      <c r="O67" s="9"/>
      <c r="P67" s="10"/>
      <c r="Q67" s="24"/>
    </row>
    <row r="68" spans="2:17" x14ac:dyDescent="0.2">
      <c r="B68" s="183"/>
      <c r="C68" s="195"/>
      <c r="D68" s="186"/>
      <c r="E68" s="186"/>
      <c r="F68" s="189"/>
      <c r="G68" s="189"/>
      <c r="H68" s="3"/>
      <c r="I68" s="9"/>
      <c r="J68" s="9"/>
      <c r="K68" s="10"/>
      <c r="L68" s="10"/>
      <c r="M68" s="9"/>
      <c r="N68" s="14"/>
      <c r="O68" s="9"/>
      <c r="P68" s="10"/>
      <c r="Q68" s="24"/>
    </row>
    <row r="69" spans="2:17" x14ac:dyDescent="0.2">
      <c r="B69" s="183"/>
      <c r="C69" s="195"/>
      <c r="D69" s="186"/>
      <c r="E69" s="186"/>
      <c r="F69" s="189"/>
      <c r="G69" s="189"/>
      <c r="H69" s="3"/>
      <c r="I69" s="9"/>
      <c r="J69" s="9"/>
      <c r="K69" s="10"/>
      <c r="L69" s="10"/>
      <c r="M69" s="9"/>
      <c r="N69" s="14"/>
      <c r="O69" s="9"/>
      <c r="P69" s="10"/>
      <c r="Q69" s="24"/>
    </row>
    <row r="70" spans="2:17" x14ac:dyDescent="0.2">
      <c r="B70" s="192"/>
      <c r="C70" s="196"/>
      <c r="D70" s="193"/>
      <c r="E70" s="193"/>
      <c r="F70" s="191"/>
      <c r="G70" s="191"/>
      <c r="H70" s="3"/>
      <c r="I70" s="9"/>
      <c r="J70" s="9"/>
      <c r="K70" s="10"/>
      <c r="L70" s="10"/>
      <c r="M70" s="9"/>
      <c r="N70" s="14"/>
      <c r="O70" s="9"/>
      <c r="P70" s="10"/>
      <c r="Q70" s="24"/>
    </row>
    <row r="71" spans="2:17" x14ac:dyDescent="0.2">
      <c r="B71" s="182">
        <v>19</v>
      </c>
      <c r="C71" s="194" t="str">
        <f>IF(Component19&gt;0,Component19,"")</f>
        <v/>
      </c>
      <c r="D71" s="185" t="str">
        <f>+IF(Typeofrisk19&gt;0,Typeofrisk19,"")</f>
        <v/>
      </c>
      <c r="E71" s="185" t="str">
        <f>IF(Risk19&gt;0,Risk19,"")</f>
        <v/>
      </c>
      <c r="F71" s="188">
        <f>+Value19</f>
        <v>3</v>
      </c>
      <c r="G71" s="188" t="str">
        <f>+Level19</f>
        <v>High</v>
      </c>
      <c r="H71" s="22"/>
      <c r="I71" s="9"/>
      <c r="J71" s="9"/>
      <c r="K71" s="10"/>
      <c r="L71" s="10"/>
      <c r="M71" s="9"/>
      <c r="N71" s="14"/>
      <c r="O71" s="9"/>
      <c r="P71" s="10"/>
      <c r="Q71" s="24"/>
    </row>
    <row r="72" spans="2:17" x14ac:dyDescent="0.2">
      <c r="B72" s="183"/>
      <c r="C72" s="195"/>
      <c r="D72" s="186"/>
      <c r="E72" s="186"/>
      <c r="F72" s="189"/>
      <c r="G72" s="189"/>
      <c r="H72" s="3"/>
      <c r="I72" s="9"/>
      <c r="J72" s="9"/>
      <c r="K72" s="10"/>
      <c r="L72" s="10"/>
      <c r="M72" s="9"/>
      <c r="N72" s="14"/>
      <c r="O72" s="9"/>
      <c r="P72" s="10"/>
      <c r="Q72" s="24"/>
    </row>
    <row r="73" spans="2:17" x14ac:dyDescent="0.2">
      <c r="B73" s="183"/>
      <c r="C73" s="195"/>
      <c r="D73" s="186"/>
      <c r="E73" s="186"/>
      <c r="F73" s="189"/>
      <c r="G73" s="189"/>
      <c r="H73" s="3"/>
      <c r="I73" s="9"/>
      <c r="J73" s="9"/>
      <c r="K73" s="10"/>
      <c r="L73" s="10"/>
      <c r="M73" s="9"/>
      <c r="N73" s="14"/>
      <c r="O73" s="9"/>
      <c r="P73" s="10"/>
      <c r="Q73" s="24"/>
    </row>
    <row r="74" spans="2:17" x14ac:dyDescent="0.2">
      <c r="B74" s="192"/>
      <c r="C74" s="196"/>
      <c r="D74" s="193"/>
      <c r="E74" s="193"/>
      <c r="F74" s="191"/>
      <c r="G74" s="191"/>
      <c r="H74" s="3"/>
      <c r="I74" s="9"/>
      <c r="J74" s="9"/>
      <c r="K74" s="10"/>
      <c r="L74" s="10"/>
      <c r="M74" s="9"/>
      <c r="N74" s="14"/>
      <c r="O74" s="9"/>
      <c r="P74" s="10"/>
      <c r="Q74" s="24"/>
    </row>
    <row r="75" spans="2:17" x14ac:dyDescent="0.2">
      <c r="B75" s="182">
        <v>20</v>
      </c>
      <c r="C75" s="194" t="str">
        <f>IF(Component20&gt;0,Component20,"")</f>
        <v/>
      </c>
      <c r="D75" s="185" t="str">
        <f>+IF(Typeofrisk20&gt;0,Typeofrisk20,"")</f>
        <v/>
      </c>
      <c r="E75" s="185" t="str">
        <f>IF(Risk20&gt;0,Risk20,"")</f>
        <v/>
      </c>
      <c r="F75" s="188">
        <f>+Value20</f>
        <v>3</v>
      </c>
      <c r="G75" s="188" t="str">
        <f>+Level20</f>
        <v>High</v>
      </c>
      <c r="H75" s="22"/>
      <c r="I75" s="9"/>
      <c r="J75" s="9"/>
      <c r="K75" s="10"/>
      <c r="L75" s="10"/>
      <c r="M75" s="9"/>
      <c r="N75" s="14"/>
      <c r="O75" s="9"/>
      <c r="P75" s="10"/>
      <c r="Q75" s="24"/>
    </row>
    <row r="76" spans="2:17" x14ac:dyDescent="0.2">
      <c r="B76" s="183"/>
      <c r="C76" s="195"/>
      <c r="D76" s="186"/>
      <c r="E76" s="186"/>
      <c r="F76" s="189"/>
      <c r="G76" s="189"/>
      <c r="H76" s="3"/>
      <c r="I76" s="9"/>
      <c r="J76" s="9"/>
      <c r="K76" s="10"/>
      <c r="L76" s="10"/>
      <c r="M76" s="9"/>
      <c r="N76" s="14"/>
      <c r="O76" s="9"/>
      <c r="P76" s="10"/>
      <c r="Q76" s="24"/>
    </row>
    <row r="77" spans="2:17" x14ac:dyDescent="0.2">
      <c r="B77" s="183"/>
      <c r="C77" s="195"/>
      <c r="D77" s="186"/>
      <c r="E77" s="186"/>
      <c r="F77" s="189"/>
      <c r="G77" s="189"/>
      <c r="H77" s="3"/>
      <c r="I77" s="9"/>
      <c r="J77" s="9"/>
      <c r="K77" s="10"/>
      <c r="L77" s="10"/>
      <c r="M77" s="9"/>
      <c r="N77" s="14"/>
      <c r="O77" s="9"/>
      <c r="P77" s="10"/>
      <c r="Q77" s="24"/>
    </row>
    <row r="78" spans="2:17" ht="13.5" thickBot="1" x14ac:dyDescent="0.25">
      <c r="B78" s="184"/>
      <c r="C78" s="197"/>
      <c r="D78" s="187"/>
      <c r="E78" s="187"/>
      <c r="F78" s="190"/>
      <c r="G78" s="191"/>
      <c r="H78" s="25"/>
      <c r="I78" s="26"/>
      <c r="J78" s="26"/>
      <c r="K78" s="27"/>
      <c r="L78" s="27"/>
      <c r="M78" s="26"/>
      <c r="N78" s="28"/>
      <c r="O78" s="26"/>
      <c r="P78" s="27"/>
      <c r="Q78" s="29"/>
    </row>
    <row r="79" spans="2:17" x14ac:dyDescent="0.2">
      <c r="B79" s="83"/>
      <c r="C79" s="84"/>
    </row>
    <row r="80" spans="2:17" x14ac:dyDescent="0.2">
      <c r="B80" s="83"/>
      <c r="C80" s="84"/>
      <c r="E80" s="76"/>
    </row>
    <row r="81" spans="2:14" hidden="1" x14ac:dyDescent="0.2">
      <c r="B81" s="83"/>
      <c r="C81" s="84"/>
      <c r="N81" s="76" t="s">
        <v>180</v>
      </c>
    </row>
    <row r="82" spans="2:14" hidden="1" x14ac:dyDescent="0.2">
      <c r="N82" s="76" t="s">
        <v>181</v>
      </c>
    </row>
  </sheetData>
  <sheetProtection selectLockedCells="1"/>
  <mergeCells count="119"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P10:Q10"/>
    <mergeCell ref="H9:Q9"/>
    <mergeCell ref="B12:B13"/>
    <mergeCell ref="E12:E13"/>
    <mergeCell ref="F12:F13"/>
    <mergeCell ref="D9:D11"/>
    <mergeCell ref="B9:B11"/>
    <mergeCell ref="G12:G13"/>
    <mergeCell ref="D12:D13"/>
    <mergeCell ref="F15:F18"/>
    <mergeCell ref="G15:G18"/>
    <mergeCell ref="B15:B18"/>
    <mergeCell ref="E15:E18"/>
    <mergeCell ref="D15:D18"/>
    <mergeCell ref="C12:C13"/>
    <mergeCell ref="C15:C18"/>
    <mergeCell ref="B19:B22"/>
    <mergeCell ref="E19:E22"/>
    <mergeCell ref="F19:F22"/>
    <mergeCell ref="G19:G22"/>
    <mergeCell ref="D19:D22"/>
    <mergeCell ref="B23:B26"/>
    <mergeCell ref="E23:E26"/>
    <mergeCell ref="F23:F26"/>
    <mergeCell ref="G23:G26"/>
    <mergeCell ref="D23:D26"/>
    <mergeCell ref="C19:C22"/>
    <mergeCell ref="C23:C26"/>
    <mergeCell ref="B28:B30"/>
    <mergeCell ref="E28:E30"/>
    <mergeCell ref="F28:F30"/>
    <mergeCell ref="G28:G30"/>
    <mergeCell ref="D28:D30"/>
    <mergeCell ref="C28:C30"/>
    <mergeCell ref="B31:B34"/>
    <mergeCell ref="E31:E34"/>
    <mergeCell ref="F31:F34"/>
    <mergeCell ref="G31:G34"/>
    <mergeCell ref="D31:D34"/>
    <mergeCell ref="B35:B38"/>
    <mergeCell ref="E35:E38"/>
    <mergeCell ref="F35:F38"/>
    <mergeCell ref="G35:G38"/>
    <mergeCell ref="D35:D38"/>
    <mergeCell ref="C31:C34"/>
    <mergeCell ref="C35:C38"/>
    <mergeCell ref="B39:B42"/>
    <mergeCell ref="E39:E42"/>
    <mergeCell ref="F39:F42"/>
    <mergeCell ref="G39:G42"/>
    <mergeCell ref="D39:D42"/>
    <mergeCell ref="B43:B46"/>
    <mergeCell ref="E43:E46"/>
    <mergeCell ref="F43:F46"/>
    <mergeCell ref="G43:G46"/>
    <mergeCell ref="D43:D46"/>
    <mergeCell ref="C39:C42"/>
    <mergeCell ref="C43:C46"/>
    <mergeCell ref="B47:B50"/>
    <mergeCell ref="E47:E50"/>
    <mergeCell ref="F47:F50"/>
    <mergeCell ref="G47:G50"/>
    <mergeCell ref="D47:D50"/>
    <mergeCell ref="C47:C50"/>
    <mergeCell ref="B51:B54"/>
    <mergeCell ref="E51:E54"/>
    <mergeCell ref="F51:F54"/>
    <mergeCell ref="G51:G54"/>
    <mergeCell ref="D51:D54"/>
    <mergeCell ref="B55:B58"/>
    <mergeCell ref="E55:E58"/>
    <mergeCell ref="F55:F58"/>
    <mergeCell ref="G55:G58"/>
    <mergeCell ref="D55:D58"/>
    <mergeCell ref="C51:C54"/>
    <mergeCell ref="C55:C58"/>
    <mergeCell ref="E59:E62"/>
    <mergeCell ref="F59:F62"/>
    <mergeCell ref="G59:G62"/>
    <mergeCell ref="D59:D62"/>
    <mergeCell ref="B63:B66"/>
    <mergeCell ref="E63:E66"/>
    <mergeCell ref="F63:F66"/>
    <mergeCell ref="G63:G66"/>
    <mergeCell ref="D63:D66"/>
    <mergeCell ref="B59:B62"/>
    <mergeCell ref="C59:C62"/>
    <mergeCell ref="C63:C66"/>
    <mergeCell ref="B75:B78"/>
    <mergeCell ref="E75:E78"/>
    <mergeCell ref="F75:F78"/>
    <mergeCell ref="G75:G78"/>
    <mergeCell ref="D75:D78"/>
    <mergeCell ref="B67:B70"/>
    <mergeCell ref="E67:E70"/>
    <mergeCell ref="F67:F70"/>
    <mergeCell ref="G67:G70"/>
    <mergeCell ref="D67:D70"/>
    <mergeCell ref="B71:B74"/>
    <mergeCell ref="E71:E74"/>
    <mergeCell ref="F71:F74"/>
    <mergeCell ref="G71:G74"/>
    <mergeCell ref="D71:D74"/>
    <mergeCell ref="C67:C70"/>
    <mergeCell ref="C71:C74"/>
    <mergeCell ref="C75:C78"/>
  </mergeCells>
  <phoneticPr fontId="0" type="noConversion"/>
  <conditionalFormatting sqref="F12:F78">
    <cfRule type="cellIs" dxfId="49" priority="82" stopIfTrue="1" operator="notBetween">
      <formula>1</formula>
      <formula>3</formula>
    </cfRule>
    <cfRule type="expression" dxfId="48" priority="83" stopIfTrue="1">
      <formula>$F12=3</formula>
    </cfRule>
    <cfRule type="expression" dxfId="47" priority="84" stopIfTrue="1">
      <formula>$F12=2</formula>
    </cfRule>
    <cfRule type="expression" dxfId="46" priority="85" stopIfTrue="1">
      <formula>$F12=1</formula>
    </cfRule>
  </conditionalFormatting>
  <conditionalFormatting sqref="G12:G78">
    <cfRule type="cellIs" dxfId="45" priority="78" stopIfTrue="1" operator="equal">
      <formula>"High"</formula>
    </cfRule>
    <cfRule type="cellIs" dxfId="44" priority="79" stopIfTrue="1" operator="equal">
      <formula>"Medium"</formula>
    </cfRule>
    <cfRule type="cellIs" dxfId="43" priority="80" stopIfTrue="1" operator="equal">
      <formula>"Low"</formula>
    </cfRule>
    <cfRule type="cellIs" dxfId="42" priority="81" stopIfTrue="1" operator="equal">
      <formula>""</formula>
    </cfRule>
  </conditionalFormatting>
  <conditionalFormatting sqref="J14 Q14">
    <cfRule type="expression" dxfId="41" priority="73">
      <formula>$F$14=1</formula>
    </cfRule>
  </conditionalFormatting>
  <conditionalFormatting sqref="H15:Q18">
    <cfRule type="expression" dxfId="40" priority="72" stopIfTrue="1">
      <formula>$F$15=1</formula>
    </cfRule>
  </conditionalFormatting>
  <conditionalFormatting sqref="H19:Q22">
    <cfRule type="expression" dxfId="39" priority="71">
      <formula>$F$19=1</formula>
    </cfRule>
  </conditionalFormatting>
  <conditionalFormatting sqref="H23:Q26">
    <cfRule type="expression" dxfId="38" priority="70">
      <formula>$F$23=1</formula>
    </cfRule>
  </conditionalFormatting>
  <conditionalFormatting sqref="Q27">
    <cfRule type="expression" dxfId="37" priority="69">
      <formula>$F$27=1</formula>
    </cfRule>
  </conditionalFormatting>
  <conditionalFormatting sqref="I28:J28 H29:J30 Q28:Q30 O28:O30">
    <cfRule type="expression" dxfId="36" priority="68">
      <formula>$F$28=1</formula>
    </cfRule>
  </conditionalFormatting>
  <conditionalFormatting sqref="H32:Q34 H31 J31:Q31">
    <cfRule type="expression" dxfId="35" priority="67">
      <formula>$F$31=1</formula>
    </cfRule>
  </conditionalFormatting>
  <conditionalFormatting sqref="H39:Q42">
    <cfRule type="expression" dxfId="34" priority="65">
      <formula>$F$39=1</formula>
    </cfRule>
  </conditionalFormatting>
  <conditionalFormatting sqref="H55:Q58">
    <cfRule type="expression" dxfId="33" priority="60">
      <formula>$F$55=1</formula>
    </cfRule>
  </conditionalFormatting>
  <conditionalFormatting sqref="H43:Q46">
    <cfRule type="expression" dxfId="32" priority="46">
      <formula>$F$43=1</formula>
    </cfRule>
  </conditionalFormatting>
  <conditionalFormatting sqref="H47:Q50">
    <cfRule type="expression" dxfId="31" priority="45">
      <formula>$F$47=1</formula>
    </cfRule>
  </conditionalFormatting>
  <conditionalFormatting sqref="H51:Q54">
    <cfRule type="expression" dxfId="30" priority="43">
      <formula>$F$51=1</formula>
    </cfRule>
  </conditionalFormatting>
  <conditionalFormatting sqref="H59:Q62">
    <cfRule type="expression" dxfId="29" priority="41">
      <formula>$F$59=1</formula>
    </cfRule>
  </conditionalFormatting>
  <conditionalFormatting sqref="H63:Q66">
    <cfRule type="expression" dxfId="28" priority="40">
      <formula>$F$63=1</formula>
    </cfRule>
  </conditionalFormatting>
  <conditionalFormatting sqref="H67:Q70">
    <cfRule type="expression" dxfId="27" priority="39">
      <formula>$F$67=1</formula>
    </cfRule>
  </conditionalFormatting>
  <conditionalFormatting sqref="H71:Q74">
    <cfRule type="expression" dxfId="26" priority="38">
      <formula>$F$71=1</formula>
    </cfRule>
  </conditionalFormatting>
  <conditionalFormatting sqref="H75:Q78">
    <cfRule type="expression" dxfId="25" priority="37">
      <formula>$F$75=1</formula>
    </cfRule>
  </conditionalFormatting>
  <conditionalFormatting sqref="H35:Q38">
    <cfRule type="expression" dxfId="24" priority="36">
      <formula>$F$35=1</formula>
    </cfRule>
  </conditionalFormatting>
  <conditionalFormatting sqref="H12:Q12 H13:J13 L13:Q13">
    <cfRule type="expression" dxfId="23" priority="24">
      <formula>$F$12=1</formula>
    </cfRule>
  </conditionalFormatting>
  <conditionalFormatting sqref="H14">
    <cfRule type="expression" dxfId="22" priority="23">
      <formula>$F$12=1</formula>
    </cfRule>
  </conditionalFormatting>
  <conditionalFormatting sqref="I14">
    <cfRule type="expression" dxfId="21" priority="22">
      <formula>$F$12=1</formula>
    </cfRule>
  </conditionalFormatting>
  <conditionalFormatting sqref="L14:P14">
    <cfRule type="expression" dxfId="20" priority="21">
      <formula>$F$12=1</formula>
    </cfRule>
  </conditionalFormatting>
  <conditionalFormatting sqref="J27:P27">
    <cfRule type="expression" dxfId="19" priority="20">
      <formula>$F$12=1</formula>
    </cfRule>
  </conditionalFormatting>
  <conditionalFormatting sqref="H27:I27">
    <cfRule type="expression" dxfId="18" priority="19">
      <formula>$F$12=1</formula>
    </cfRule>
  </conditionalFormatting>
  <conditionalFormatting sqref="H28">
    <cfRule type="expression" dxfId="17" priority="18">
      <formula>$F$12=1</formula>
    </cfRule>
  </conditionalFormatting>
  <conditionalFormatting sqref="K13">
    <cfRule type="expression" dxfId="16" priority="17">
      <formula>$F$12=1</formula>
    </cfRule>
  </conditionalFormatting>
  <conditionalFormatting sqref="K14">
    <cfRule type="expression" dxfId="15" priority="16">
      <formula>$F$12=1</formula>
    </cfRule>
  </conditionalFormatting>
  <conditionalFormatting sqref="K28">
    <cfRule type="expression" dxfId="14" priority="15">
      <formula>$F$12=1</formula>
    </cfRule>
  </conditionalFormatting>
  <conditionalFormatting sqref="K29">
    <cfRule type="expression" dxfId="13" priority="14">
      <formula>$F$12=1</formula>
    </cfRule>
  </conditionalFormatting>
  <conditionalFormatting sqref="L28">
    <cfRule type="expression" dxfId="12" priority="13">
      <formula>$F$12=1</formula>
    </cfRule>
  </conditionalFormatting>
  <conditionalFormatting sqref="L29">
    <cfRule type="expression" dxfId="11" priority="12">
      <formula>$F$12=1</formula>
    </cfRule>
  </conditionalFormatting>
  <conditionalFormatting sqref="M28">
    <cfRule type="expression" dxfId="10" priority="11">
      <formula>$F$12=1</formula>
    </cfRule>
  </conditionalFormatting>
  <conditionalFormatting sqref="M29">
    <cfRule type="expression" dxfId="9" priority="10">
      <formula>$F$12=1</formula>
    </cfRule>
  </conditionalFormatting>
  <conditionalFormatting sqref="N28">
    <cfRule type="expression" dxfId="8" priority="9">
      <formula>$F$12=1</formula>
    </cfRule>
  </conditionalFormatting>
  <conditionalFormatting sqref="N29">
    <cfRule type="expression" dxfId="7" priority="8">
      <formula>$F$12=1</formula>
    </cfRule>
  </conditionalFormatting>
  <conditionalFormatting sqref="P28">
    <cfRule type="expression" dxfId="6" priority="7">
      <formula>$F$12=1</formula>
    </cfRule>
  </conditionalFormatting>
  <conditionalFormatting sqref="P29">
    <cfRule type="expression" dxfId="5" priority="6">
      <formula>$F$12=1</formula>
    </cfRule>
  </conditionalFormatting>
  <conditionalFormatting sqref="P30">
    <cfRule type="expression" dxfId="4" priority="5">
      <formula>$F$12=1</formula>
    </cfRule>
  </conditionalFormatting>
  <conditionalFormatting sqref="K30">
    <cfRule type="expression" dxfId="3" priority="4">
      <formula>$F$12=1</formula>
    </cfRule>
  </conditionalFormatting>
  <conditionalFormatting sqref="L30">
    <cfRule type="expression" dxfId="2" priority="3">
      <formula>$F$12=1</formula>
    </cfRule>
  </conditionalFormatting>
  <conditionalFormatting sqref="M30">
    <cfRule type="expression" dxfId="1" priority="2">
      <formula>$F$12=1</formula>
    </cfRule>
  </conditionalFormatting>
  <conditionalFormatting sqref="N30">
    <cfRule type="expression" dxfId="0" priority="1">
      <formula>$F$12=1</formula>
    </cfRule>
  </conditionalFormatting>
  <dataValidations count="1">
    <dataValidation type="list" allowBlank="1" showInputMessage="1" showErrorMessage="1" sqref="N12:N30 N32:N78">
      <formula1>$N$81:$N$82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rowBreaks count="1" manualBreakCount="1">
    <brk id="42" min="1" max="16" man="1"/>
  </rowBreaks>
  <ignoredErrors>
    <ignoredError sqref="C12:E13 C32:E50 D31:E31 C14:E14 C15:E27 C28:E30 C51:E78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40625" defaultRowHeight="12.75" x14ac:dyDescent="0.2"/>
  <cols>
    <col min="1" max="1" width="30.42578125" style="32" bestFit="1" customWidth="1"/>
    <col min="2" max="2" width="45" style="13" customWidth="1"/>
    <col min="3" max="3" width="15.5703125" style="13" customWidth="1"/>
    <col min="4" max="4" width="18.5703125" style="13" customWidth="1"/>
    <col min="5" max="16384" width="9.140625" style="13"/>
  </cols>
  <sheetData>
    <row r="1" spans="1:2" ht="20.25" x14ac:dyDescent="0.3">
      <c r="A1" s="38" t="s">
        <v>16</v>
      </c>
    </row>
    <row r="3" spans="1:2" ht="15.75" x14ac:dyDescent="0.25">
      <c r="A3" s="37" t="s">
        <v>17</v>
      </c>
    </row>
    <row r="5" spans="1:2" x14ac:dyDescent="0.2">
      <c r="A5" s="39" t="s">
        <v>20</v>
      </c>
      <c r="B5" s="33" t="s">
        <v>21</v>
      </c>
    </row>
    <row r="7" spans="1:2" x14ac:dyDescent="0.2">
      <c r="B7" s="34" t="s">
        <v>40</v>
      </c>
    </row>
    <row r="8" spans="1:2" x14ac:dyDescent="0.2">
      <c r="B8" s="34" t="s">
        <v>41</v>
      </c>
    </row>
    <row r="9" spans="1:2" x14ac:dyDescent="0.2">
      <c r="B9" s="34" t="s">
        <v>42</v>
      </c>
    </row>
    <row r="10" spans="1:2" x14ac:dyDescent="0.2">
      <c r="B10" s="34" t="s">
        <v>43</v>
      </c>
    </row>
    <row r="11" spans="1:2" x14ac:dyDescent="0.2">
      <c r="B11" s="34" t="s">
        <v>44</v>
      </c>
    </row>
    <row r="12" spans="1:2" x14ac:dyDescent="0.2">
      <c r="B12" s="34" t="s">
        <v>45</v>
      </c>
    </row>
    <row r="13" spans="1:2" x14ac:dyDescent="0.2">
      <c r="B13" s="34" t="s">
        <v>46</v>
      </c>
    </row>
    <row r="14" spans="1:2" x14ac:dyDescent="0.2">
      <c r="B14" s="34" t="s">
        <v>47</v>
      </c>
    </row>
    <row r="15" spans="1:2" x14ac:dyDescent="0.2">
      <c r="B15" s="34" t="s">
        <v>48</v>
      </c>
    </row>
    <row r="16" spans="1:2" x14ac:dyDescent="0.2">
      <c r="B16" s="34" t="s">
        <v>49</v>
      </c>
    </row>
    <row r="17" spans="1:2" x14ac:dyDescent="0.2">
      <c r="B17" s="34" t="s">
        <v>50</v>
      </c>
    </row>
    <row r="18" spans="1:2" x14ac:dyDescent="0.2">
      <c r="B18" s="34" t="s">
        <v>51</v>
      </c>
    </row>
    <row r="19" spans="1:2" x14ac:dyDescent="0.2">
      <c r="B19" s="34" t="s">
        <v>52</v>
      </c>
    </row>
    <row r="20" spans="1:2" x14ac:dyDescent="0.2">
      <c r="B20" s="34" t="s">
        <v>53</v>
      </c>
    </row>
    <row r="21" spans="1:2" x14ac:dyDescent="0.2">
      <c r="B21" s="34" t="s">
        <v>54</v>
      </c>
    </row>
    <row r="22" spans="1:2" x14ac:dyDescent="0.2">
      <c r="B22" s="34" t="s">
        <v>55</v>
      </c>
    </row>
    <row r="23" spans="1:2" x14ac:dyDescent="0.2">
      <c r="B23" s="34" t="s">
        <v>56</v>
      </c>
    </row>
    <row r="24" spans="1:2" x14ac:dyDescent="0.2">
      <c r="B24" s="34" t="s">
        <v>57</v>
      </c>
    </row>
    <row r="25" spans="1:2" x14ac:dyDescent="0.2">
      <c r="B25" s="34" t="s">
        <v>58</v>
      </c>
    </row>
    <row r="26" spans="1:2" x14ac:dyDescent="0.2">
      <c r="B26" s="34" t="s">
        <v>59</v>
      </c>
    </row>
    <row r="28" spans="1:2" x14ac:dyDescent="0.2">
      <c r="A28" s="39" t="s">
        <v>22</v>
      </c>
      <c r="B28" s="33" t="s">
        <v>23</v>
      </c>
    </row>
    <row r="30" spans="1:2" x14ac:dyDescent="0.2">
      <c r="B30" s="34" t="s">
        <v>80</v>
      </c>
    </row>
    <row r="31" spans="1:2" x14ac:dyDescent="0.2">
      <c r="B31" s="34" t="s">
        <v>81</v>
      </c>
    </row>
    <row r="32" spans="1:2" x14ac:dyDescent="0.2">
      <c r="B32" s="34" t="s">
        <v>82</v>
      </c>
    </row>
    <row r="33" spans="2:2" x14ac:dyDescent="0.2">
      <c r="B33" s="34" t="s">
        <v>83</v>
      </c>
    </row>
    <row r="34" spans="2:2" x14ac:dyDescent="0.2">
      <c r="B34" s="34" t="s">
        <v>84</v>
      </c>
    </row>
    <row r="35" spans="2:2" x14ac:dyDescent="0.2">
      <c r="B35" s="34" t="s">
        <v>85</v>
      </c>
    </row>
    <row r="36" spans="2:2" x14ac:dyDescent="0.2">
      <c r="B36" s="34" t="s">
        <v>86</v>
      </c>
    </row>
    <row r="37" spans="2:2" x14ac:dyDescent="0.2">
      <c r="B37" s="34" t="s">
        <v>87</v>
      </c>
    </row>
    <row r="38" spans="2:2" x14ac:dyDescent="0.2">
      <c r="B38" s="34" t="s">
        <v>88</v>
      </c>
    </row>
    <row r="39" spans="2:2" x14ac:dyDescent="0.2">
      <c r="B39" s="34" t="s">
        <v>89</v>
      </c>
    </row>
    <row r="40" spans="2:2" x14ac:dyDescent="0.2">
      <c r="B40" s="34" t="s">
        <v>90</v>
      </c>
    </row>
    <row r="41" spans="2:2" x14ac:dyDescent="0.2">
      <c r="B41" s="34" t="s">
        <v>91</v>
      </c>
    </row>
    <row r="42" spans="2:2" x14ac:dyDescent="0.2">
      <c r="B42" s="34" t="s">
        <v>92</v>
      </c>
    </row>
    <row r="43" spans="2:2" x14ac:dyDescent="0.2">
      <c r="B43" s="34" t="s">
        <v>93</v>
      </c>
    </row>
    <row r="44" spans="2:2" x14ac:dyDescent="0.2">
      <c r="B44" s="34" t="s">
        <v>94</v>
      </c>
    </row>
    <row r="45" spans="2:2" x14ac:dyDescent="0.2">
      <c r="B45" s="34" t="s">
        <v>95</v>
      </c>
    </row>
    <row r="46" spans="2:2" x14ac:dyDescent="0.2">
      <c r="B46" s="34" t="s">
        <v>96</v>
      </c>
    </row>
    <row r="47" spans="2:2" x14ac:dyDescent="0.2">
      <c r="B47" s="34" t="s">
        <v>97</v>
      </c>
    </row>
    <row r="48" spans="2:2" x14ac:dyDescent="0.2">
      <c r="B48" s="34" t="s">
        <v>98</v>
      </c>
    </row>
    <row r="49" spans="1:2" x14ac:dyDescent="0.2">
      <c r="B49" s="34" t="s">
        <v>99</v>
      </c>
    </row>
    <row r="51" spans="1:2" x14ac:dyDescent="0.2">
      <c r="A51" s="39" t="s">
        <v>18</v>
      </c>
      <c r="B51" s="33" t="s">
        <v>19</v>
      </c>
    </row>
    <row r="53" spans="1:2" x14ac:dyDescent="0.2">
      <c r="B53" s="36" t="s">
        <v>60</v>
      </c>
    </row>
    <row r="54" spans="1:2" x14ac:dyDescent="0.2">
      <c r="B54" s="34" t="s">
        <v>61</v>
      </c>
    </row>
    <row r="55" spans="1:2" x14ac:dyDescent="0.2">
      <c r="B55" s="36" t="s">
        <v>62</v>
      </c>
    </row>
    <row r="56" spans="1:2" x14ac:dyDescent="0.2">
      <c r="B56" s="34" t="s">
        <v>63</v>
      </c>
    </row>
    <row r="57" spans="1:2" x14ac:dyDescent="0.2">
      <c r="B57" s="36" t="s">
        <v>64</v>
      </c>
    </row>
    <row r="58" spans="1:2" x14ac:dyDescent="0.2">
      <c r="B58" s="34" t="s">
        <v>65</v>
      </c>
    </row>
    <row r="59" spans="1:2" x14ac:dyDescent="0.2">
      <c r="B59" s="36" t="s">
        <v>66</v>
      </c>
    </row>
    <row r="60" spans="1:2" x14ac:dyDescent="0.2">
      <c r="B60" s="34" t="s">
        <v>67</v>
      </c>
    </row>
    <row r="61" spans="1:2" x14ac:dyDescent="0.2">
      <c r="B61" s="36" t="s">
        <v>68</v>
      </c>
    </row>
    <row r="62" spans="1:2" x14ac:dyDescent="0.2">
      <c r="B62" s="34" t="s">
        <v>69</v>
      </c>
    </row>
    <row r="63" spans="1:2" x14ac:dyDescent="0.2">
      <c r="B63" s="36" t="s">
        <v>70</v>
      </c>
    </row>
    <row r="64" spans="1:2" x14ac:dyDescent="0.2">
      <c r="B64" s="34" t="s">
        <v>71</v>
      </c>
    </row>
    <row r="65" spans="1:2" x14ac:dyDescent="0.2">
      <c r="B65" s="36" t="s">
        <v>72</v>
      </c>
    </row>
    <row r="66" spans="1:2" x14ac:dyDescent="0.2">
      <c r="B66" s="34" t="s">
        <v>73</v>
      </c>
    </row>
    <row r="67" spans="1:2" x14ac:dyDescent="0.2">
      <c r="B67" s="36" t="s">
        <v>74</v>
      </c>
    </row>
    <row r="68" spans="1:2" x14ac:dyDescent="0.2">
      <c r="B68" s="34" t="s">
        <v>75</v>
      </c>
    </row>
    <row r="69" spans="1:2" x14ac:dyDescent="0.2">
      <c r="B69" s="36" t="s">
        <v>76</v>
      </c>
    </row>
    <row r="70" spans="1:2" x14ac:dyDescent="0.2">
      <c r="B70" s="34" t="s">
        <v>77</v>
      </c>
    </row>
    <row r="71" spans="1:2" x14ac:dyDescent="0.2">
      <c r="B71" s="36" t="s">
        <v>78</v>
      </c>
    </row>
    <row r="72" spans="1:2" x14ac:dyDescent="0.2">
      <c r="B72" s="34" t="s">
        <v>79</v>
      </c>
    </row>
    <row r="74" spans="1:2" x14ac:dyDescent="0.2">
      <c r="A74" s="39" t="s">
        <v>27</v>
      </c>
      <c r="B74" s="33" t="s">
        <v>26</v>
      </c>
    </row>
    <row r="76" spans="1:2" x14ac:dyDescent="0.2">
      <c r="A76" s="39" t="s">
        <v>25</v>
      </c>
      <c r="B76" s="33" t="s">
        <v>24</v>
      </c>
    </row>
    <row r="78" spans="1:2" x14ac:dyDescent="0.2">
      <c r="A78" s="39" t="s">
        <v>28</v>
      </c>
      <c r="B78" s="33" t="s">
        <v>29</v>
      </c>
    </row>
    <row r="80" spans="1:2" x14ac:dyDescent="0.2">
      <c r="B80" s="34" t="s">
        <v>100</v>
      </c>
    </row>
    <row r="81" spans="2:2" x14ac:dyDescent="0.2">
      <c r="B81" s="34" t="s">
        <v>101</v>
      </c>
    </row>
    <row r="82" spans="2:2" x14ac:dyDescent="0.2">
      <c r="B82" s="34" t="s">
        <v>102</v>
      </c>
    </row>
    <row r="83" spans="2:2" x14ac:dyDescent="0.2">
      <c r="B83" s="34" t="s">
        <v>103</v>
      </c>
    </row>
    <row r="84" spans="2:2" x14ac:dyDescent="0.2">
      <c r="B84" s="34" t="s">
        <v>104</v>
      </c>
    </row>
    <row r="85" spans="2:2" x14ac:dyDescent="0.2">
      <c r="B85" s="34" t="s">
        <v>105</v>
      </c>
    </row>
    <row r="86" spans="2:2" x14ac:dyDescent="0.2">
      <c r="B86" s="34" t="s">
        <v>106</v>
      </c>
    </row>
    <row r="87" spans="2:2" x14ac:dyDescent="0.2">
      <c r="B87" s="34" t="s">
        <v>107</v>
      </c>
    </row>
    <row r="88" spans="2:2" x14ac:dyDescent="0.2">
      <c r="B88" s="34" t="s">
        <v>108</v>
      </c>
    </row>
    <row r="89" spans="2:2" x14ac:dyDescent="0.2">
      <c r="B89" s="34" t="s">
        <v>109</v>
      </c>
    </row>
    <row r="90" spans="2:2" x14ac:dyDescent="0.2">
      <c r="B90" s="34" t="s">
        <v>110</v>
      </c>
    </row>
    <row r="91" spans="2:2" x14ac:dyDescent="0.2">
      <c r="B91" s="34" t="s">
        <v>111</v>
      </c>
    </row>
    <row r="92" spans="2:2" x14ac:dyDescent="0.2">
      <c r="B92" s="34" t="s">
        <v>112</v>
      </c>
    </row>
    <row r="93" spans="2:2" x14ac:dyDescent="0.2">
      <c r="B93" s="34" t="s">
        <v>113</v>
      </c>
    </row>
    <row r="94" spans="2:2" x14ac:dyDescent="0.2">
      <c r="B94" s="34" t="s">
        <v>114</v>
      </c>
    </row>
    <row r="95" spans="2:2" x14ac:dyDescent="0.2">
      <c r="B95" s="34" t="s">
        <v>115</v>
      </c>
    </row>
    <row r="96" spans="2:2" x14ac:dyDescent="0.2">
      <c r="B96" s="34" t="s">
        <v>116</v>
      </c>
    </row>
    <row r="97" spans="1:2" x14ac:dyDescent="0.2">
      <c r="B97" s="34" t="s">
        <v>117</v>
      </c>
    </row>
    <row r="98" spans="1:2" x14ac:dyDescent="0.2">
      <c r="B98" s="34" t="s">
        <v>118</v>
      </c>
    </row>
    <row r="99" spans="1:2" x14ac:dyDescent="0.2">
      <c r="B99" s="34" t="s">
        <v>119</v>
      </c>
    </row>
    <row r="101" spans="1:2" x14ac:dyDescent="0.2">
      <c r="A101" s="39" t="s">
        <v>30</v>
      </c>
      <c r="B101" s="33" t="s">
        <v>31</v>
      </c>
    </row>
    <row r="103" spans="1:2" x14ac:dyDescent="0.2">
      <c r="B103" s="34" t="s">
        <v>120</v>
      </c>
    </row>
    <row r="104" spans="1:2" x14ac:dyDescent="0.2">
      <c r="B104" s="34" t="s">
        <v>121</v>
      </c>
    </row>
    <row r="105" spans="1:2" x14ac:dyDescent="0.2">
      <c r="B105" s="34" t="s">
        <v>122</v>
      </c>
    </row>
    <row r="106" spans="1:2" x14ac:dyDescent="0.2">
      <c r="B106" s="34" t="s">
        <v>123</v>
      </c>
    </row>
    <row r="107" spans="1:2" x14ac:dyDescent="0.2">
      <c r="B107" s="34" t="s">
        <v>124</v>
      </c>
    </row>
    <row r="108" spans="1:2" x14ac:dyDescent="0.2">
      <c r="B108" s="34" t="s">
        <v>125</v>
      </c>
    </row>
    <row r="109" spans="1:2" x14ac:dyDescent="0.2">
      <c r="B109" s="34" t="s">
        <v>126</v>
      </c>
    </row>
    <row r="110" spans="1:2" x14ac:dyDescent="0.2">
      <c r="B110" s="34" t="s">
        <v>127</v>
      </c>
    </row>
    <row r="111" spans="1:2" x14ac:dyDescent="0.2">
      <c r="B111" s="34" t="s">
        <v>128</v>
      </c>
    </row>
    <row r="112" spans="1:2" x14ac:dyDescent="0.2">
      <c r="B112" s="34" t="s">
        <v>129</v>
      </c>
    </row>
    <row r="113" spans="1:2" x14ac:dyDescent="0.2">
      <c r="B113" s="34" t="s">
        <v>130</v>
      </c>
    </row>
    <row r="114" spans="1:2" x14ac:dyDescent="0.2">
      <c r="B114" s="34" t="s">
        <v>131</v>
      </c>
    </row>
    <row r="115" spans="1:2" x14ac:dyDescent="0.2">
      <c r="B115" s="34" t="s">
        <v>132</v>
      </c>
    </row>
    <row r="116" spans="1:2" x14ac:dyDescent="0.2">
      <c r="B116" s="34" t="s">
        <v>133</v>
      </c>
    </row>
    <row r="117" spans="1:2" x14ac:dyDescent="0.2">
      <c r="B117" s="34" t="s">
        <v>134</v>
      </c>
    </row>
    <row r="118" spans="1:2" x14ac:dyDescent="0.2">
      <c r="B118" s="34" t="s">
        <v>135</v>
      </c>
    </row>
    <row r="119" spans="1:2" x14ac:dyDescent="0.2">
      <c r="B119" s="34" t="s">
        <v>136</v>
      </c>
    </row>
    <row r="120" spans="1:2" x14ac:dyDescent="0.2">
      <c r="B120" s="34" t="s">
        <v>137</v>
      </c>
    </row>
    <row r="121" spans="1:2" x14ac:dyDescent="0.2">
      <c r="B121" s="34" t="s">
        <v>138</v>
      </c>
    </row>
    <row r="122" spans="1:2" x14ac:dyDescent="0.2">
      <c r="B122" s="34" t="s">
        <v>139</v>
      </c>
    </row>
    <row r="124" spans="1:2" x14ac:dyDescent="0.2">
      <c r="A124" s="39" t="s">
        <v>33</v>
      </c>
      <c r="B124" s="33" t="s">
        <v>32</v>
      </c>
    </row>
    <row r="126" spans="1:2" x14ac:dyDescent="0.2">
      <c r="A126" s="39" t="s">
        <v>36</v>
      </c>
      <c r="B126" s="33" t="s">
        <v>35</v>
      </c>
    </row>
    <row r="128" spans="1:2" x14ac:dyDescent="0.2">
      <c r="B128" s="34" t="s">
        <v>140</v>
      </c>
    </row>
    <row r="129" spans="2:2" x14ac:dyDescent="0.2">
      <c r="B129" s="34" t="s">
        <v>141</v>
      </c>
    </row>
    <row r="130" spans="2:2" x14ac:dyDescent="0.2">
      <c r="B130" s="34" t="s">
        <v>142</v>
      </c>
    </row>
    <row r="131" spans="2:2" x14ac:dyDescent="0.2">
      <c r="B131" s="34" t="s">
        <v>143</v>
      </c>
    </row>
    <row r="132" spans="2:2" x14ac:dyDescent="0.2">
      <c r="B132" s="34" t="s">
        <v>144</v>
      </c>
    </row>
    <row r="133" spans="2:2" x14ac:dyDescent="0.2">
      <c r="B133" s="34" t="s">
        <v>145</v>
      </c>
    </row>
    <row r="134" spans="2:2" x14ac:dyDescent="0.2">
      <c r="B134" s="34" t="s">
        <v>146</v>
      </c>
    </row>
    <row r="135" spans="2:2" x14ac:dyDescent="0.2">
      <c r="B135" s="34" t="s">
        <v>147</v>
      </c>
    </row>
    <row r="136" spans="2:2" x14ac:dyDescent="0.2">
      <c r="B136" s="34" t="s">
        <v>148</v>
      </c>
    </row>
    <row r="137" spans="2:2" x14ac:dyDescent="0.2">
      <c r="B137" s="34" t="s">
        <v>149</v>
      </c>
    </row>
    <row r="138" spans="2:2" x14ac:dyDescent="0.2">
      <c r="B138" s="34" t="s">
        <v>150</v>
      </c>
    </row>
    <row r="139" spans="2:2" x14ac:dyDescent="0.2">
      <c r="B139" s="34" t="s">
        <v>151</v>
      </c>
    </row>
    <row r="140" spans="2:2" x14ac:dyDescent="0.2">
      <c r="B140" s="34" t="s">
        <v>152</v>
      </c>
    </row>
    <row r="141" spans="2:2" x14ac:dyDescent="0.2">
      <c r="B141" s="34" t="s">
        <v>153</v>
      </c>
    </row>
    <row r="142" spans="2:2" x14ac:dyDescent="0.2">
      <c r="B142" s="34" t="s">
        <v>154</v>
      </c>
    </row>
    <row r="143" spans="2:2" x14ac:dyDescent="0.2">
      <c r="B143" s="34" t="s">
        <v>155</v>
      </c>
    </row>
    <row r="144" spans="2:2" x14ac:dyDescent="0.2">
      <c r="B144" s="34" t="s">
        <v>156</v>
      </c>
    </row>
    <row r="145" spans="1:2" x14ac:dyDescent="0.2">
      <c r="B145" s="34" t="s">
        <v>157</v>
      </c>
    </row>
    <row r="146" spans="1:2" x14ac:dyDescent="0.2">
      <c r="B146" s="34" t="s">
        <v>158</v>
      </c>
    </row>
    <row r="147" spans="1:2" x14ac:dyDescent="0.2">
      <c r="B147" s="34" t="s">
        <v>159</v>
      </c>
    </row>
    <row r="149" spans="1:2" x14ac:dyDescent="0.2">
      <c r="A149" s="39" t="s">
        <v>37</v>
      </c>
      <c r="B149" s="33" t="s">
        <v>34</v>
      </c>
    </row>
    <row r="151" spans="1:2" x14ac:dyDescent="0.2">
      <c r="B151" s="34" t="s">
        <v>160</v>
      </c>
    </row>
    <row r="152" spans="1:2" x14ac:dyDescent="0.2">
      <c r="B152" s="34" t="s">
        <v>161</v>
      </c>
    </row>
    <row r="153" spans="1:2" x14ac:dyDescent="0.2">
      <c r="B153" s="34" t="s">
        <v>162</v>
      </c>
    </row>
    <row r="154" spans="1:2" x14ac:dyDescent="0.2">
      <c r="B154" s="34" t="s">
        <v>163</v>
      </c>
    </row>
    <row r="155" spans="1:2" x14ac:dyDescent="0.2">
      <c r="B155" s="34" t="s">
        <v>164</v>
      </c>
    </row>
    <row r="156" spans="1:2" x14ac:dyDescent="0.2">
      <c r="B156" s="34" t="s">
        <v>165</v>
      </c>
    </row>
    <row r="157" spans="1:2" x14ac:dyDescent="0.2">
      <c r="B157" s="34" t="s">
        <v>166</v>
      </c>
    </row>
    <row r="158" spans="1:2" x14ac:dyDescent="0.2">
      <c r="B158" s="34" t="s">
        <v>167</v>
      </c>
    </row>
    <row r="159" spans="1:2" x14ac:dyDescent="0.2">
      <c r="B159" s="34" t="s">
        <v>168</v>
      </c>
    </row>
    <row r="160" spans="1:2" x14ac:dyDescent="0.2">
      <c r="B160" s="34" t="s">
        <v>169</v>
      </c>
    </row>
    <row r="161" spans="1:2" x14ac:dyDescent="0.2">
      <c r="B161" s="34" t="s">
        <v>170</v>
      </c>
    </row>
    <row r="162" spans="1:2" x14ac:dyDescent="0.2">
      <c r="B162" s="34" t="s">
        <v>171</v>
      </c>
    </row>
    <row r="163" spans="1:2" x14ac:dyDescent="0.2">
      <c r="B163" s="34" t="s">
        <v>172</v>
      </c>
    </row>
    <row r="164" spans="1:2" x14ac:dyDescent="0.2">
      <c r="B164" s="34" t="s">
        <v>173</v>
      </c>
    </row>
    <row r="165" spans="1:2" x14ac:dyDescent="0.2">
      <c r="B165" s="34" t="s">
        <v>174</v>
      </c>
    </row>
    <row r="166" spans="1:2" x14ac:dyDescent="0.2">
      <c r="B166" s="34" t="s">
        <v>175</v>
      </c>
    </row>
    <row r="167" spans="1:2" x14ac:dyDescent="0.2">
      <c r="B167" s="34" t="s">
        <v>176</v>
      </c>
    </row>
    <row r="168" spans="1:2" x14ac:dyDescent="0.2">
      <c r="B168" s="34" t="s">
        <v>177</v>
      </c>
    </row>
    <row r="169" spans="1:2" x14ac:dyDescent="0.2">
      <c r="B169" s="34" t="s">
        <v>178</v>
      </c>
    </row>
    <row r="170" spans="1:2" x14ac:dyDescent="0.2">
      <c r="B170" s="34" t="s">
        <v>179</v>
      </c>
    </row>
    <row r="173" spans="1:2" x14ac:dyDescent="0.2">
      <c r="A173" s="39" t="s">
        <v>38</v>
      </c>
      <c r="B173" s="35" t="s">
        <v>182</v>
      </c>
    </row>
    <row r="175" spans="1:2" x14ac:dyDescent="0.2">
      <c r="A175" s="39" t="s">
        <v>183</v>
      </c>
      <c r="B175" s="33" t="s">
        <v>184</v>
      </c>
    </row>
    <row r="177" spans="1:2" x14ac:dyDescent="0.2">
      <c r="A177" s="39" t="s">
        <v>185</v>
      </c>
      <c r="B177" s="35" t="s">
        <v>186</v>
      </c>
    </row>
    <row r="179" spans="1:2" x14ac:dyDescent="0.2">
      <c r="A179" s="39" t="s">
        <v>187</v>
      </c>
      <c r="B179" s="35" t="s">
        <v>189</v>
      </c>
    </row>
    <row r="181" spans="1:2" x14ac:dyDescent="0.2">
      <c r="A181" s="39" t="s">
        <v>188</v>
      </c>
      <c r="B181" s="35" t="s">
        <v>190</v>
      </c>
    </row>
    <row r="183" spans="1:2" x14ac:dyDescent="0.2">
      <c r="A183" s="39" t="s">
        <v>191</v>
      </c>
      <c r="B183" s="35" t="s">
        <v>192</v>
      </c>
    </row>
    <row r="185" spans="1:2" x14ac:dyDescent="0.2">
      <c r="A185" s="39" t="s">
        <v>193</v>
      </c>
      <c r="B185" s="35" t="s">
        <v>194</v>
      </c>
    </row>
    <row r="187" spans="1:2" x14ac:dyDescent="0.2">
      <c r="A187" s="39" t="s">
        <v>195</v>
      </c>
      <c r="B187" s="35" t="s">
        <v>196</v>
      </c>
    </row>
    <row r="189" spans="1:2" x14ac:dyDescent="0.2">
      <c r="A189" s="39" t="s">
        <v>39</v>
      </c>
      <c r="B189" s="35" t="s">
        <v>197</v>
      </c>
    </row>
    <row r="191" spans="1:2" x14ac:dyDescent="0.2">
      <c r="A191" s="39" t="s">
        <v>198</v>
      </c>
      <c r="B191" s="35" t="s">
        <v>199</v>
      </c>
    </row>
    <row r="193" spans="1:2" x14ac:dyDescent="0.2">
      <c r="A193" s="39" t="s">
        <v>200</v>
      </c>
      <c r="B193" s="35" t="s">
        <v>201</v>
      </c>
    </row>
    <row r="194" spans="1:2" ht="13.5" x14ac:dyDescent="0.25">
      <c r="A194" s="30"/>
    </row>
    <row r="195" spans="1:2" ht="13.5" x14ac:dyDescent="0.25">
      <c r="A195" s="30"/>
    </row>
    <row r="196" spans="1:2" ht="13.5" x14ac:dyDescent="0.25">
      <c r="A196" s="30"/>
    </row>
    <row r="197" spans="1:2" ht="13.5" x14ac:dyDescent="0.25">
      <c r="A197" s="30"/>
    </row>
    <row r="198" spans="1:2" ht="13.5" x14ac:dyDescent="0.25">
      <c r="A198" s="31"/>
    </row>
    <row r="200" spans="1:2" ht="13.5" x14ac:dyDescent="0.25">
      <c r="A200" s="30"/>
    </row>
  </sheetData>
  <pageMargins left="0.7" right="0.7" top="0.75" bottom="0.75" header="0.3" footer="0.3"/>
  <pageSetup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1AFE9C39CC06E4CA5D9C3984560DA88" ma:contentTypeVersion="0" ma:contentTypeDescription="A content type to manage public (operations) IDB documents" ma:contentTypeScope="" ma:versionID="408395219fad92843872dc692cab120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38178128</IDBDocs_x0020_Number>
    <Document_x0020_Author xmlns="9c571b2f-e523-4ab2-ba2e-09e151a03ef4">von Horoch, Jorge Luis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JA-L1046</Project_x0020_Number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FCF1CB4-F1D4-41D8-BF06-61291459335B}"/>
</file>

<file path=customXml/itemProps2.xml><?xml version="1.0" encoding="utf-8"?>
<ds:datastoreItem xmlns:ds="http://schemas.openxmlformats.org/officeDocument/2006/customXml" ds:itemID="{EEF7D6F6-7DDC-424F-94A9-5ADDA1E0FFAF}"/>
</file>

<file path=customXml/itemProps3.xml><?xml version="1.0" encoding="utf-8"?>
<ds:datastoreItem xmlns:ds="http://schemas.openxmlformats.org/officeDocument/2006/customXml" ds:itemID="{62785083-4024-40E4-B9B7-F3EF6B31C250}"/>
</file>

<file path=customXml/itemProps4.xml><?xml version="1.0" encoding="utf-8"?>
<ds:datastoreItem xmlns:ds="http://schemas.openxmlformats.org/officeDocument/2006/customXml" ds:itemID="{ADB4A4FE-82B5-4F69-8193-5B6C9154BFD8}"/>
</file>

<file path=customXml/itemProps5.xml><?xml version="1.0" encoding="utf-8"?>
<ds:datastoreItem xmlns:ds="http://schemas.openxmlformats.org/officeDocument/2006/customXml" ds:itemID="{E32BAFC7-6BD2-4E78-89CF-1C5BCF6A85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139</vt:i4>
      </vt:variant>
    </vt:vector>
  </HeadingPairs>
  <TitlesOfParts>
    <vt:vector size="143" baseType="lpstr">
      <vt:lpstr>RRF</vt:lpstr>
      <vt:lpstr>RAM</vt:lpstr>
      <vt:lpstr>RMM</vt:lpstr>
      <vt:lpstr>Settings</vt:lpstr>
      <vt:lpstr>Component1</vt:lpstr>
      <vt:lpstr>Component10</vt:lpstr>
      <vt:lpstr>Component11</vt:lpstr>
      <vt:lpstr>Component12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RAM!Print_Area</vt:lpstr>
      <vt:lpstr>RMM!Print_Area</vt:lpstr>
      <vt:lpstr>RRF!Print_Area</vt:lpstr>
      <vt:lpstr>RAM!Print_Titles</vt:lpstr>
      <vt:lpstr>RMM!Print_Titles</vt:lpstr>
      <vt:lpstr>RRF!Print_Titles</vt:lpstr>
      <vt:lpstr>Probability1</vt:lpstr>
      <vt:lpstr>Probability10</vt:lpstr>
      <vt:lpstr>Probability11</vt:lpstr>
      <vt:lpstr>Probability12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Assessment (excel version)</dc:title>
  <dc:creator>Jorge Quinteros VPC/PDP</dc:creator>
  <cp:lastModifiedBy>Inter-American Development Bank</cp:lastModifiedBy>
  <cp:lastPrinted>2010-09-28T18:48:31Z</cp:lastPrinted>
  <dcterms:created xsi:type="dcterms:W3CDTF">2008-01-14T22:04:09Z</dcterms:created>
  <dcterms:modified xsi:type="dcterms:W3CDTF">2014-07-29T18:35:14Z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0x01010046CF21643EE8D14686A648AA6DAD08920021AFE9C39CC06E4CA5D9C3984560DA88</vt:lpwstr>
  </property>
  <property fmtid="{D5CDD505-2E9C-101B-9397-08002B2CF9AE}" pid="6" name="TaxKeywordTaxHTField">
    <vt:lpwstr/>
  </property>
  <property fmtid="{D5CDD505-2E9C-101B-9397-08002B2CF9AE}" pid="7" name="Sub-Sector">
    <vt:lpwstr/>
  </property>
  <property fmtid="{D5CDD505-2E9C-101B-9397-08002B2CF9AE}" pid="8" name="Series Operations IDB">
    <vt:lpwstr>7;#Unclassified|a6dff32e-d477-44cd-a56b-85efe9e0a56c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8;#IDBDocs|cca77002-e150-4b2d-ab1f-1d7a7cdcae16</vt:lpwstr>
  </property>
</Properties>
</file>