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Tables/pivotTable6.xml" ContentType="application/vnd.openxmlformats-officedocument.spreadsheetml.pivotTable+xml"/>
  <Override PartName="/xl/worksheets/sheet1.xml" ContentType="application/vnd.openxmlformats-officedocument.spreadsheetml.worksheet+xml"/>
  <Override PartName="/xl/pivotTables/pivotTable4.xml" ContentType="application/vnd.openxmlformats-officedocument.spreadsheetml.pivotTable+xml"/>
  <Override PartName="/xl/pivotTables/pivotTable3.xml" ContentType="application/vnd.openxmlformats-officedocument.spreadsheetml.pivotTable+xml"/>
  <Override PartName="/xl/pivotTables/pivotTable2.xml" ContentType="application/vnd.openxmlformats-officedocument.spreadsheetml.pivotTable+xml"/>
  <Override PartName="/xl/pivotTables/pivotTable5.xml" ContentType="application/vnd.openxmlformats-officedocument.spreadsheetml.pivotTable+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pivotTables/pivotTable1.xml" ContentType="application/vnd.openxmlformats-officedocument.spreadsheetml.pivotTable+xml"/>
  <Override PartName="/xl/worksheets/sheet6.xml" ContentType="application/vnd.openxmlformats-officedocument.spreadsheetml.worksheet+xml"/>
  <Override PartName="/xl/sharedStrings.xml" ContentType="application/vnd.openxmlformats-officedocument.spreadsheetml.sharedStrings+xml"/>
  <Override PartName="/xl/worksheets/sheet5.xml" ContentType="application/vnd.openxmlformats-officedocument.spreadsheetml.worksheet+xml"/>
  <Override PartName="/xl/styles.xml" ContentType="application/vnd.openxmlformats-officedocument.spreadsheetml.styles+xml"/>
  <Override PartName="/xl/pivotCache/pivotCacheRecords1.xml" ContentType="application/vnd.openxmlformats-officedocument.spreadsheetml.pivotCacheRecords+xml"/>
  <Override PartName="/xl/pivotCache/pivotCacheDefinition1.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2.xml" ContentType="application/vnd.openxmlformats-officedocument.spreadsheetml.pivotCacheDefiniti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ivotCache/pivotCacheRecords4.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3.xml" ContentType="application/vnd.openxmlformats-officedocument.spreadsheetml.pivotCacheDefinitio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0730" windowHeight="8535" tabRatio="799"/>
  </bookViews>
  <sheets>
    <sheet name="1 Matriz General" sheetId="1" r:id="rId1"/>
    <sheet name="2 Resumen x Eje" sheetId="5" r:id="rId2"/>
    <sheet name="3 Resumen x Org. Coop." sheetId="4" r:id="rId3"/>
    <sheet name="4  Monto Actual x Cop x Eje" sheetId="14" r:id="rId4"/>
    <sheet name="Montos x Coop x Eje" sheetId="12" r:id="rId5"/>
    <sheet name="Montos por cooperacion" sheetId="9" r:id="rId6"/>
    <sheet name="Montos por ejes" sheetId="11" r:id="rId7"/>
    <sheet name="Sheet1" sheetId="15" r:id="rId8"/>
  </sheets>
  <definedNames>
    <definedName name="_xlnm._FilterDatabase" localSheetId="0" hidden="1">'1 Matriz General'!$A$2:$V$212</definedName>
  </definedNames>
  <calcPr calcId="152511"/>
  <pivotCaches>
    <pivotCache cacheId="0" r:id="rId9"/>
    <pivotCache cacheId="1" r:id="rId10"/>
    <pivotCache cacheId="2" r:id="rId11"/>
    <pivotCache cacheId="3" r:id="rId12"/>
  </pivotCaches>
</workbook>
</file>

<file path=xl/calcChain.xml><?xml version="1.0" encoding="utf-8"?>
<calcChain xmlns="http://schemas.openxmlformats.org/spreadsheetml/2006/main">
  <c r="J48" i="14" l="1"/>
  <c r="J47" i="14"/>
  <c r="J46" i="14"/>
  <c r="J45" i="14"/>
  <c r="J44" i="14"/>
  <c r="J43" i="14"/>
  <c r="J42" i="14"/>
  <c r="J36" i="14"/>
  <c r="H24" i="14"/>
  <c r="J11" i="14"/>
  <c r="J13" i="14"/>
  <c r="J14" i="14"/>
  <c r="J23" i="14"/>
  <c r="F59" i="12"/>
  <c r="F61" i="12" s="1"/>
  <c r="F50" i="14" s="1"/>
  <c r="J50" i="14" s="1"/>
  <c r="F56" i="12"/>
  <c r="F58" i="12" s="1"/>
  <c r="D49" i="14" s="1"/>
  <c r="J49" i="14" s="1"/>
  <c r="F53" i="12"/>
  <c r="F55" i="12" s="1"/>
  <c r="F47" i="12"/>
  <c r="F48" i="12" s="1"/>
  <c r="G41" i="14" s="1"/>
  <c r="J41" i="14" s="1"/>
  <c r="F43" i="12"/>
  <c r="F45" i="12" s="1"/>
  <c r="D39" i="14" s="1"/>
  <c r="J39" i="14" s="1"/>
  <c r="F40" i="12"/>
  <c r="F41" i="12" s="1"/>
  <c r="I38" i="14" s="1"/>
  <c r="J38" i="14" s="1"/>
  <c r="F32" i="12"/>
  <c r="F35" i="12" s="1"/>
  <c r="F37" i="14" s="1"/>
  <c r="F10" i="12"/>
  <c r="F19" i="12" s="1"/>
  <c r="G35" i="14" s="1"/>
  <c r="F5" i="12"/>
  <c r="F8" i="12" s="1"/>
  <c r="G34" i="14" s="1"/>
  <c r="F2" i="12"/>
  <c r="F3" i="12" s="1"/>
  <c r="G33" i="14" s="1"/>
  <c r="B204" i="12"/>
  <c r="B212" i="12" s="1"/>
  <c r="F22" i="14" s="1"/>
  <c r="B199" i="12"/>
  <c r="B203" i="12" s="1"/>
  <c r="I21" i="14" s="1"/>
  <c r="B196" i="12"/>
  <c r="B197" i="12" s="1"/>
  <c r="F20" i="14" s="1"/>
  <c r="J20" i="14" s="1"/>
  <c r="B192" i="12"/>
  <c r="B193" i="12" s="1"/>
  <c r="D19" i="14" s="1"/>
  <c r="J19" i="14" s="1"/>
  <c r="B179" i="12"/>
  <c r="B187" i="12" s="1"/>
  <c r="F18" i="14" s="1"/>
  <c r="B174" i="12"/>
  <c r="B178" i="12" s="1"/>
  <c r="G17" i="14" s="1"/>
  <c r="B170" i="12"/>
  <c r="B171" i="12" s="1"/>
  <c r="D16" i="14" s="1"/>
  <c r="J16" i="14" s="1"/>
  <c r="B167" i="12"/>
  <c r="B168" i="12" s="1"/>
  <c r="F15" i="14" s="1"/>
  <c r="J15" i="14" s="1"/>
  <c r="B59" i="12"/>
  <c r="B60" i="12" s="1"/>
  <c r="D12" i="14" s="1"/>
  <c r="J12" i="14" s="1"/>
  <c r="B41" i="12"/>
  <c r="B50" i="12" s="1"/>
  <c r="I10" i="14" s="1"/>
  <c r="I24" i="14" s="1"/>
  <c r="B35" i="12"/>
  <c r="B39" i="12" s="1"/>
  <c r="G9" i="14" s="1"/>
  <c r="B25" i="12"/>
  <c r="B29" i="12" s="1"/>
  <c r="G8" i="14" s="1"/>
  <c r="B7" i="12"/>
  <c r="B8" i="12" s="1"/>
  <c r="D7" i="14" s="1"/>
  <c r="B2" i="12"/>
  <c r="B3" i="12" s="1"/>
  <c r="F6" i="14" s="1"/>
  <c r="F25" i="4"/>
  <c r="H25" i="4" s="1"/>
  <c r="F24" i="4"/>
  <c r="B5" i="12" l="1"/>
  <c r="G6" i="14" s="1"/>
  <c r="J6" i="14" s="1"/>
  <c r="B26" i="12"/>
  <c r="F33" i="12"/>
  <c r="D37" i="14" s="1"/>
  <c r="J37" i="14" s="1"/>
  <c r="F17" i="12"/>
  <c r="F35" i="14" s="1"/>
  <c r="F51" i="14" s="1"/>
  <c r="F6" i="12"/>
  <c r="D34" i="14" s="1"/>
  <c r="F11" i="12"/>
  <c r="D35" i="14" s="1"/>
  <c r="F27" i="12"/>
  <c r="H35" i="14" s="1"/>
  <c r="H51" i="14" s="1"/>
  <c r="B33" i="12"/>
  <c r="F8" i="14" s="1"/>
  <c r="J8" i="14" s="1"/>
  <c r="B36" i="12"/>
  <c r="F9" i="14" s="1"/>
  <c r="B201" i="12"/>
  <c r="D21" i="14" s="1"/>
  <c r="J21" i="14" s="1"/>
  <c r="G40" i="14"/>
  <c r="J40" i="14" s="1"/>
  <c r="B18" i="12"/>
  <c r="G7" i="14" s="1"/>
  <c r="B175" i="12"/>
  <c r="D17" i="14" s="1"/>
  <c r="F14" i="12"/>
  <c r="E35" i="14" s="1"/>
  <c r="E51" i="14" s="1"/>
  <c r="J17" i="14"/>
  <c r="I51" i="14"/>
  <c r="J9" i="14"/>
  <c r="J33" i="14"/>
  <c r="J34" i="14"/>
  <c r="B42" i="12"/>
  <c r="F10" i="14" s="1"/>
  <c r="B45" i="12"/>
  <c r="E10" i="14" s="1"/>
  <c r="B53" i="12"/>
  <c r="G10" i="14" s="1"/>
  <c r="B180" i="12"/>
  <c r="G18" i="14" s="1"/>
  <c r="J18" i="14" s="1"/>
  <c r="B205" i="12"/>
  <c r="D22" i="14" s="1"/>
  <c r="B215" i="12"/>
  <c r="G22" i="14" s="1"/>
  <c r="F16" i="4"/>
  <c r="H16" i="4" s="1"/>
  <c r="F15" i="4"/>
  <c r="H15" i="4" s="1"/>
  <c r="F14" i="4"/>
  <c r="F13" i="4"/>
  <c r="H13" i="4" s="1"/>
  <c r="F12" i="4"/>
  <c r="F10" i="4"/>
  <c r="F9" i="4"/>
  <c r="F8" i="4"/>
  <c r="D24" i="4"/>
  <c r="H24" i="4" s="1"/>
  <c r="D23" i="4"/>
  <c r="H23" i="4" s="1"/>
  <c r="D22" i="4"/>
  <c r="H22" i="4" s="1"/>
  <c r="D21" i="4"/>
  <c r="H21" i="4" s="1"/>
  <c r="D20" i="4"/>
  <c r="H20" i="4" s="1"/>
  <c r="D19" i="4"/>
  <c r="H19" i="4" s="1"/>
  <c r="D18" i="4"/>
  <c r="H18" i="4" s="1"/>
  <c r="D14" i="4"/>
  <c r="D12" i="4"/>
  <c r="H12" i="4" s="1"/>
  <c r="D11" i="4"/>
  <c r="H11" i="4" s="1"/>
  <c r="D10" i="4"/>
  <c r="H10" i="4" s="1"/>
  <c r="D9" i="4"/>
  <c r="D8" i="4"/>
  <c r="F12" i="5"/>
  <c r="F11" i="5"/>
  <c r="F9" i="5"/>
  <c r="F10" i="5"/>
  <c r="F8" i="5"/>
  <c r="F7" i="5"/>
  <c r="C47" i="11"/>
  <c r="D12" i="5"/>
  <c r="D11" i="5"/>
  <c r="D10" i="5"/>
  <c r="D9" i="5"/>
  <c r="D8" i="5"/>
  <c r="D7" i="5"/>
  <c r="A174" i="11"/>
  <c r="A193" i="9"/>
  <c r="J22" i="14" l="1"/>
  <c r="G24" i="14"/>
  <c r="H8" i="4"/>
  <c r="J7" i="14"/>
  <c r="D51" i="14"/>
  <c r="H9" i="4"/>
  <c r="H14" i="4"/>
  <c r="E24" i="14"/>
  <c r="J10" i="14"/>
  <c r="F24" i="14"/>
  <c r="D24" i="14"/>
  <c r="G51" i="14"/>
  <c r="J35" i="14"/>
  <c r="F27" i="4"/>
  <c r="G15" i="4" s="1"/>
  <c r="F13" i="5"/>
  <c r="D13" i="5"/>
  <c r="J212" i="1"/>
  <c r="I212" i="1"/>
  <c r="J24" i="14" l="1"/>
  <c r="D25" i="14"/>
  <c r="G25" i="14"/>
  <c r="J51" i="14"/>
  <c r="I52" i="14" s="1"/>
  <c r="M13" i="5"/>
  <c r="L13" i="5"/>
  <c r="H25" i="14"/>
  <c r="I25" i="14"/>
  <c r="E25" i="14"/>
  <c r="F25" i="14"/>
  <c r="H12" i="5"/>
  <c r="J12" i="5" s="1"/>
  <c r="H11" i="5"/>
  <c r="J11" i="5" s="1"/>
  <c r="H9" i="5"/>
  <c r="J9" i="5" s="1"/>
  <c r="H8" i="5"/>
  <c r="J8" i="5" s="1"/>
  <c r="H7" i="5"/>
  <c r="J7" i="5" s="1"/>
  <c r="G3" i="1"/>
  <c r="G4" i="1"/>
  <c r="G5" i="1"/>
  <c r="G6" i="1"/>
  <c r="G7" i="1"/>
  <c r="G8" i="1"/>
  <c r="G9" i="1"/>
  <c r="G10" i="1"/>
  <c r="G11" i="1"/>
  <c r="G12"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203" i="1"/>
  <c r="J202" i="1"/>
  <c r="H52" i="14" l="1"/>
  <c r="J25" i="14"/>
  <c r="G52" i="14"/>
  <c r="E52" i="14"/>
  <c r="F52" i="14"/>
  <c r="D52" i="14"/>
  <c r="I201" i="1"/>
  <c r="L201" i="1" s="1"/>
  <c r="I197" i="1"/>
  <c r="J197" i="1" s="1"/>
  <c r="I195" i="1"/>
  <c r="J195" i="1" s="1"/>
  <c r="I194" i="1"/>
  <c r="J194" i="1" s="1"/>
  <c r="I196" i="1"/>
  <c r="I200" i="1"/>
  <c r="L200" i="1" s="1"/>
  <c r="I199" i="1"/>
  <c r="L199" i="1" s="1"/>
  <c r="I198" i="1"/>
  <c r="L198" i="1" s="1"/>
  <c r="I193" i="1"/>
  <c r="J193" i="1" s="1"/>
  <c r="I192" i="1"/>
  <c r="J192" i="1" s="1"/>
  <c r="I191" i="1"/>
  <c r="J191" i="1" s="1"/>
  <c r="J189" i="1"/>
  <c r="I189" i="1"/>
  <c r="J190" i="1"/>
  <c r="I190" i="1"/>
  <c r="J176" i="1"/>
  <c r="J52" i="14" l="1"/>
  <c r="D17" i="4"/>
  <c r="H17" i="4" s="1"/>
  <c r="J196" i="1"/>
  <c r="H27" i="4" l="1"/>
  <c r="I17" i="4" s="1"/>
  <c r="D27" i="4"/>
  <c r="I165" i="1"/>
  <c r="I164" i="1"/>
  <c r="J168" i="1"/>
  <c r="J169" i="1"/>
  <c r="J170" i="1"/>
  <c r="J171" i="1"/>
  <c r="J167" i="1"/>
  <c r="L158" i="1"/>
  <c r="L157" i="1"/>
  <c r="L156" i="1"/>
  <c r="L155" i="1"/>
  <c r="L154" i="1"/>
  <c r="L153" i="1"/>
  <c r="L152" i="1"/>
  <c r="L151" i="1"/>
  <c r="L150" i="1"/>
  <c r="N137" i="1"/>
  <c r="N136" i="1"/>
  <c r="H10" i="5" s="1"/>
  <c r="J10" i="5" s="1"/>
  <c r="J13" i="5" l="1"/>
  <c r="I9" i="4"/>
  <c r="I11" i="4"/>
  <c r="I13" i="4"/>
  <c r="I15" i="4"/>
  <c r="I19" i="4"/>
  <c r="I21" i="4"/>
  <c r="I23" i="4"/>
  <c r="I25" i="4"/>
  <c r="I10" i="4"/>
  <c r="I12" i="4"/>
  <c r="I14" i="4"/>
  <c r="I16" i="4"/>
  <c r="I18" i="4"/>
  <c r="I20" i="4"/>
  <c r="I22" i="4"/>
  <c r="I24" i="4"/>
  <c r="I8" i="4"/>
  <c r="E13" i="4"/>
  <c r="E16" i="4"/>
  <c r="E15" i="4"/>
  <c r="E14" i="4"/>
  <c r="E10" i="4"/>
  <c r="E20" i="4"/>
  <c r="E8" i="4"/>
  <c r="E21" i="4"/>
  <c r="E18" i="4"/>
  <c r="E22" i="4"/>
  <c r="E19" i="4"/>
  <c r="E23" i="4"/>
  <c r="E9" i="4"/>
  <c r="E24" i="4"/>
  <c r="E17" i="4"/>
  <c r="E11" i="4"/>
  <c r="E12" i="4"/>
  <c r="N223" i="1"/>
  <c r="E7" i="5"/>
  <c r="K7" i="5" l="1"/>
  <c r="K12" i="5"/>
  <c r="K11" i="5"/>
  <c r="K9" i="5"/>
  <c r="K8" i="5"/>
  <c r="K10" i="5"/>
  <c r="E27" i="4"/>
  <c r="G10" i="5"/>
  <c r="E12" i="5"/>
  <c r="H13" i="5"/>
  <c r="I10" i="5" s="1"/>
  <c r="G8" i="5"/>
  <c r="G11" i="5"/>
  <c r="G9" i="5"/>
  <c r="G12" i="5"/>
  <c r="G7" i="5"/>
  <c r="G13" i="5" l="1"/>
  <c r="K13" i="5"/>
  <c r="G10" i="4"/>
  <c r="G25" i="4"/>
  <c r="G18" i="4"/>
  <c r="G20" i="4"/>
  <c r="G22" i="4"/>
  <c r="G24" i="4"/>
  <c r="G17" i="4"/>
  <c r="G19" i="4"/>
  <c r="G21" i="4"/>
  <c r="G23" i="4"/>
  <c r="G16" i="4"/>
  <c r="G14" i="4"/>
  <c r="G13" i="4"/>
  <c r="G9" i="4"/>
  <c r="G8" i="4"/>
  <c r="G12" i="4"/>
  <c r="G11" i="4"/>
  <c r="I9" i="5"/>
  <c r="I8" i="5"/>
  <c r="I7" i="5"/>
  <c r="I12" i="5"/>
  <c r="I11" i="5"/>
  <c r="E8" i="5"/>
  <c r="E9" i="5"/>
  <c r="E10" i="5"/>
  <c r="E11" i="5"/>
  <c r="E13" i="5" l="1"/>
  <c r="I13" i="5"/>
  <c r="G27" i="4"/>
  <c r="I27" i="4"/>
</calcChain>
</file>

<file path=xl/sharedStrings.xml><?xml version="1.0" encoding="utf-8"?>
<sst xmlns="http://schemas.openxmlformats.org/spreadsheetml/2006/main" count="1720" uniqueCount="694">
  <si>
    <t xml:space="preserve">PROYECTOS </t>
  </si>
  <si>
    <t xml:space="preserve">APROBADO </t>
  </si>
  <si>
    <t xml:space="preserve">NOMBRE DEL PROYECTO </t>
  </si>
  <si>
    <t xml:space="preserve">BREVE DESCRIPCIÓN </t>
  </si>
  <si>
    <t xml:space="preserve">MUNICIPIO </t>
  </si>
  <si>
    <t xml:space="preserve">INSTITUCIÓN RESPONSABLE </t>
  </si>
  <si>
    <t xml:space="preserve">MONTO PREVISTO </t>
  </si>
  <si>
    <t xml:space="preserve">FUENTE </t>
  </si>
  <si>
    <t xml:space="preserve">SIN FINANCIAMIENTO </t>
  </si>
  <si>
    <t xml:space="preserve">EN GESTIÓN </t>
  </si>
  <si>
    <t xml:space="preserve">PERÍODO DE EJECUCIÓN </t>
  </si>
  <si>
    <t xml:space="preserve">AÑO DE INICIO </t>
  </si>
  <si>
    <t xml:space="preserve">AÑO DE FINALIZACIÓN  </t>
  </si>
  <si>
    <t xml:space="preserve">FUENTE INFORMACIÓN </t>
  </si>
  <si>
    <t xml:space="preserve">INSTITUCIÓN </t>
  </si>
  <si>
    <t>ESTADO DE PROGRAMA O PROYECTO</t>
  </si>
  <si>
    <t xml:space="preserve">OBJETIVO(S) DEL PROGRAMA                             O PROYECTO </t>
  </si>
  <si>
    <t xml:space="preserve">DESCRIPCIÓN DE LA LÍNEA DE BASE DEL PROGRAMA O PROYECTO </t>
  </si>
  <si>
    <t>COMENTARIOS                                  U           OBSERVACIONES</t>
  </si>
  <si>
    <t xml:space="preserve">Fomento de la producción y comercialización de camarón, tilapia y moluscos, con establecimiento de Centros de Desarrollo Productivo(CDP), Escuelas de Campo (ECAS) y Centros de Acopio y Servicios (CAS); para mejorar los niveles de rentabilidad y las condiciones de vida de los productores (as) acuícolas. </t>
  </si>
  <si>
    <t>Desarrollo de la Cadena Avicola</t>
  </si>
  <si>
    <t xml:space="preserve">CENDEPESCA </t>
  </si>
  <si>
    <t>BCIE</t>
  </si>
  <si>
    <t>abr.13</t>
  </si>
  <si>
    <t>dic.13</t>
  </si>
  <si>
    <t xml:space="preserve">Ejecución </t>
  </si>
  <si>
    <t>Promover el incremento sostenible en la producción acuícola e incrementar la cobertura de atención a productores(a)</t>
  </si>
  <si>
    <t xml:space="preserve">670 productores formados, 29 CDP constituidos, 2 CAS establecidos para la comercialización. </t>
  </si>
  <si>
    <t xml:space="preserve">MAG </t>
  </si>
  <si>
    <t xml:space="preserve">Masificar la producción de semilla de ostras y conchas para atender demandas de productores; desarrollar técnica de producción de semilla de casco de burro, y consolidar el encadenamiento de la producción y comercialización de moluscos </t>
  </si>
  <si>
    <t>CENDEPESCA/ JICA</t>
  </si>
  <si>
    <t>Mejorar la producción y extensión de la tecnología de acuicultura de moluscos para consolidar                                                  el encadenamiento de la producción y comercialización en beneficio de los productores (as) de las áreas de influencia del proyecto.</t>
  </si>
  <si>
    <t xml:space="preserve">500 productores de moluscos </t>
  </si>
  <si>
    <t xml:space="preserve">CENTA </t>
  </si>
  <si>
    <t>Producción intensiva de hortalizas en casas mallas.</t>
  </si>
  <si>
    <t xml:space="preserve">Se han construido 4 casas mallas para la producción hortícula en la producción hortícula en la cooperativa Los Ensayos </t>
  </si>
  <si>
    <t xml:space="preserve">MAG - CENTA </t>
  </si>
  <si>
    <t xml:space="preserve">En ejecución </t>
  </si>
  <si>
    <t xml:space="preserve">Mejorar la productividad agrícola y los ingresos de las familias que poseen niños desarrollando trabajos, con la finalidad de reducir el trabajo infantil. </t>
  </si>
  <si>
    <t xml:space="preserve">La cooperativa nacio en 1989 con 133 socios teniendo una agricultura tradicional, con un área de 2mz. Con el cultivo de maíz.54 familias </t>
  </si>
  <si>
    <t>Monto ejecutado         a la fecha                        $ 95,687.00</t>
  </si>
  <si>
    <t xml:space="preserve">Inventario de productores a ser beneficiados con el proyecto y construcción de la línea base </t>
  </si>
  <si>
    <t xml:space="preserve">Jujutla </t>
  </si>
  <si>
    <t>Enero de 2013</t>
  </si>
  <si>
    <t>Diciembte d e  2013</t>
  </si>
  <si>
    <t xml:space="preserve">Mejorar la producción y rentabilidad de los productores de hortalizas, que permita incrementar sus ingresos mediante la producción intensiva de hortalizas en casa mallas </t>
  </si>
  <si>
    <t>62.9% de niños que realizan trabajo infantil en la zona Occidental. (Censo poblacional de 6 Municipios OIT)</t>
  </si>
  <si>
    <t xml:space="preserve">Cadena de Granos Básicos </t>
  </si>
  <si>
    <t xml:space="preserve">Asistencia técnica, capacitación, transferencia de Tecnología en granos básicos a productores y productoras individuales, organizados en grupo de interés constituidos legalmente a nivel Nacional. </t>
  </si>
  <si>
    <t xml:space="preserve">San Francisco Menéndez, Jujutla, Guaymango, Izalco, San Antonio del Monte, Cuisnahuat, Sonsonate, Sta. Isabel Ishuatan, Nahuilingo, Nahuizalco, San Julian, San Pedro Masahuat, San Luís Talpa, Santiago Nonualco, San Rafael Obrajuelo, San Pedro Nonualco, Tecoluca, Puerto de La Libertad, Chiltiupan, San José Villanueva, Jiquilisco, San Agustín, Ozatlan, Santa Elena,Usulután, Concepción Batres, Conchagua, La Unión, San Alejo, El Carmen. </t>
  </si>
  <si>
    <t>Abr. 13</t>
  </si>
  <si>
    <t>Dic.14</t>
  </si>
  <si>
    <t xml:space="preserve">Incrementar el nivel de ingresos netos de las familias rurales a través del mejoramiento de la competividad de los  negocos rurales y encadenamientos productivos </t>
  </si>
  <si>
    <t xml:space="preserve">Información de Censo Agropecuario 2001 - 2008 y Estadistica de la Dirección General de Economía Agropecuaria. </t>
  </si>
  <si>
    <t xml:space="preserve">Cadena de Hortalizas </t>
  </si>
  <si>
    <t xml:space="preserve">Asistencia Técnica, capacitación, transferencia de Tecnología en cultivos de hortalizas (tomate, chile, pepino, cebolla, ejote) a productores u productoras individuales, organizados en grupos de interés o constituidos legalmente a nivel Nacional. </t>
  </si>
  <si>
    <t xml:space="preserve">Izalco, San Antonio del Monte, Caluco, Nahuizalco, Santo Domingo de Guzmán, Sam Pedro Masahuat, Olocuilta, Tecoluca, Jiquilisco, Usulután, Puerto El Triunfo, Santa Elena, Santa María, La Unión. </t>
  </si>
  <si>
    <t>Dic. 14</t>
  </si>
  <si>
    <t xml:space="preserve">Incrementar el nivel de ingresos netos de las familias rurales a través del mejoramiento de la competitividad de los negocios rurales u encadenamientos productivos. </t>
  </si>
  <si>
    <t>Información de Censo Agropecuario 2001 -2008 y Estadìstica de ña Dirección General de Economía Agropecuaria</t>
  </si>
  <si>
    <t xml:space="preserve">Cadena de Frutas </t>
  </si>
  <si>
    <t xml:space="preserve">Asistencia Técnica, capacitación, transferencia de Tecnología en cultivos frutales (Mango, Papaya,) cítricos, musaceas a productores y  productoras individuales, organizados en grupos de interés o constituidos legalmente a nivel Nacional. </t>
  </si>
  <si>
    <t>Jujutla, Guaymango, Izalco, San Antonio del Monte, Acajutla, Sonsonate, San Pedro Masahuat, Santiago Nonualco, San Luís La Herradura, Tecoluca, Usulután, Concepciçón Batres, San Francisco Javier, San Dionisio, Jiquilisco, El Tránsito, Conchagua</t>
  </si>
  <si>
    <t xml:space="preserve">BCIE </t>
  </si>
  <si>
    <t xml:space="preserve">Cadena Cacao </t>
  </si>
  <si>
    <t xml:space="preserve">Asistencia Técnica, capacitación, transferencia de Tecnología  a productores y  productoras individuales, organizados en grupos de interés o constituidos legalmente a nivel Nacional. </t>
  </si>
  <si>
    <t>Izalco, Nahuilingo, San Pedro Nonualco, Concepción Batres.</t>
  </si>
  <si>
    <t>Jiquilisco</t>
  </si>
  <si>
    <t xml:space="preserve">Proyecto de Préstamo de Financiamiento al Plan de Agricultura Familiar - Componente Seguridad Alimentaria y Nutricional </t>
  </si>
  <si>
    <t>Incrementar la disponibilidad acceso al consumo de los alimentod a través de la mejora de los sistemas de producción de las familias en condiciones de subsistencia del área rural.</t>
  </si>
  <si>
    <t xml:space="preserve">Guaymango, Caluco, Cuisnahuat, Santo Domingo de Guzmaán, San Agustin, Santa Catarina Masahuat, Santa Isabel Ishuatan, Chiltiupan, Comasagua, Jicalapa, Teotepeque, San Juan Tepezontes, Concepción Batres, Jucuarán, Ozatlán, San Francisco Javier, Santa Elena,Tecapan, San Jorge, Huizucar, Tamanique, Panchimalco, Rosario de Mora, Tecoluca, Conchagua, Zaragoza, Cuyultitán, El Rosario La Paz, San Juan Talpa, San Luís Talpa, San Pedro Masahuat, Zacatecoluca, EL Tránsito, Pasaquina. </t>
  </si>
  <si>
    <t>Abril de 2013</t>
  </si>
  <si>
    <t xml:space="preserve">Aprobado </t>
  </si>
  <si>
    <t xml:space="preserve">Financiamiento del programa de Agricultura Familiar dentro del Proyecto de Apoyo a la Agricultura Familiar (PAAF) </t>
  </si>
  <si>
    <t>Encuesta de hogar de propósitos múltiples 2009 Dirección General de Estadísticas y Censos. IV Censo  Agropecuario 2007  -2008 Ministerio de Economía, Dirección General de Estadísti cas y Censos. Plan de Agricultura Familiar y Emprendedurismo Rural para la Seguridad Alimentaria y Nutricional (PAAF) 2011 - 2014 Ministerio de Agricultura y Ganadería (MAG)</t>
  </si>
  <si>
    <t xml:space="preserve">"Fortalecimiento de la Agricultura Familiar Aplicando Tecnologías ante el Cambio Climático en El Salvador. </t>
  </si>
  <si>
    <t xml:space="preserve">El proyecto apoyará a familias productoras del programa PAF Seguridad Alimentaria, PAF Encadenamiento Productivo. </t>
  </si>
  <si>
    <t xml:space="preserve">Componente 2  Fortalecimiento de la Cadena de granos Básicos. Todos los Municipios a nivel nacional </t>
  </si>
  <si>
    <t>FANTEL</t>
  </si>
  <si>
    <t>Diciembre de 2014</t>
  </si>
  <si>
    <t xml:space="preserve">Contribuir al desarrollo productivo y protección forestal, y el encadenamiento agro productivo de granos básicos. </t>
  </si>
  <si>
    <t xml:space="preserve">Incrementar la producción de granos básicos a partir de semilla certificada, mejorada y artesenal </t>
  </si>
  <si>
    <t xml:space="preserve">DGEA </t>
  </si>
  <si>
    <t xml:space="preserve">Fortalecimiento de las capacidades productivas de productores de hortalizas y frutas, en 46 municipios de 10 Departamentosatendidos por el programa PAF Cadenas Productivas del Plan de Agricultura Familiar </t>
  </si>
  <si>
    <t xml:space="preserve">El proyecto tiene como finalidad contribuir a la puesta en marcha del Plan de Agricultura Familiar (PAF) MAG, su contribuición será especificamente dirigido al Programa PAF Cadenas Productivas, cuyo objetivos principal es la incorporación del segmento de agricultura familiar comercial, en sistemas estructurados que consoliden la oferta y satisfagan las eexigencias de la demanda. Para ello se incrementará la productividad y competitividad por medio de la creación  y fortalecimiento de capacidades técnicas y de gestión empresarial de los actores en casa eslabón de la cadena </t>
  </si>
  <si>
    <t>SAN FRANCISCO
MELENDEZ</t>
  </si>
  <si>
    <t>CUYULTITAN</t>
  </si>
  <si>
    <t>SAN LUIS TALPA</t>
  </si>
  <si>
    <t>SAN PEDRO NONUALCO</t>
  </si>
  <si>
    <t>ZACATECOLUCA</t>
  </si>
  <si>
    <t>TECOLUCA</t>
  </si>
  <si>
    <t>IZALCO</t>
  </si>
  <si>
    <t>NAHIULINGO</t>
  </si>
  <si>
    <t>SAN ANTONIO 
DEL MONTE</t>
  </si>
  <si>
    <t>SONSONATE</t>
  </si>
  <si>
    <t>CONCEPCION BATRES</t>
  </si>
  <si>
    <t>JIQUILISCO</t>
  </si>
  <si>
    <t>USULUTAN</t>
  </si>
  <si>
    <t>San Francisco Melendez</t>
  </si>
  <si>
    <t>La Libertad</t>
  </si>
  <si>
    <t>Acajutla</t>
  </si>
  <si>
    <t>San Juan Tepezontes</t>
  </si>
  <si>
    <t>Usulután</t>
  </si>
  <si>
    <t>Tecoluca</t>
  </si>
  <si>
    <t>EL TRANSITO</t>
  </si>
  <si>
    <t>NAHUIZALCO</t>
  </si>
  <si>
    <t>Dirección General de Economía Agropecuaria</t>
  </si>
  <si>
    <t>USDA</t>
  </si>
  <si>
    <t>Enero 2013</t>
  </si>
  <si>
    <t>Octubre 2013</t>
  </si>
  <si>
    <t>EJECUCIÓN</t>
  </si>
  <si>
    <t>Incrementar el nivel de los ingresos netos de las familias rurales a trave´s del mejoramiento dela competitividad de los negocios rurales y el encadenamiento productivo.</t>
  </si>
  <si>
    <t>Incremento de la competitividad del sector agropecuario y pesquero mediante el establecimiento de equipo y aprovechamiento de información agroclimática</t>
  </si>
  <si>
    <t>Enero 2009</t>
  </si>
  <si>
    <t>Diciembre 2013</t>
  </si>
  <si>
    <t>Por iniciar</t>
  </si>
  <si>
    <t>Des este proyecto la Dirección General de Economía Agrpecuaria es responsable unicamente del componente No. 3</t>
  </si>
  <si>
    <t xml:space="preserve">Establecer un sistema de alerta temprana para la seguridad alimentaria, mediante el establecimiento de una red de estaciones de monitoreo agroclimático y de las zonas marino costeras que permita conocer la influencia del clima sobre los cltivos en algunas zonas de influencia agropecuaria y sobre la producción pesquera naiconal. </t>
  </si>
  <si>
    <t>La Unión</t>
  </si>
  <si>
    <t>APANECA</t>
  </si>
  <si>
    <t>GUAYMANGO</t>
  </si>
  <si>
    <t>JUJUTLA</t>
  </si>
  <si>
    <t>SAN FRANCISCO</t>
  </si>
  <si>
    <t>SAN PEDRO PUXTLA</t>
  </si>
  <si>
    <t>CHILTIUPAN</t>
  </si>
  <si>
    <t>COMASAGUA</t>
  </si>
  <si>
    <t>HUIZUCAR</t>
  </si>
  <si>
    <t>JUCALAPA</t>
  </si>
  <si>
    <t>LA LIBERTAD</t>
  </si>
  <si>
    <t>SAN JOSE VILLANUEVA</t>
  </si>
  <si>
    <t>TAMANIQUE</t>
  </si>
  <si>
    <t>TEOTEPEQUE</t>
  </si>
  <si>
    <t>ZARAGOZA</t>
  </si>
  <si>
    <t>OLOCUILTA</t>
  </si>
  <si>
    <t xml:space="preserve">SAN ANTONIO </t>
  </si>
  <si>
    <t>SAN JUAN NONUALCO</t>
  </si>
  <si>
    <t>SAN JUAN TALPA</t>
  </si>
  <si>
    <t>SAN MIGUEL TEPEZONTES</t>
  </si>
  <si>
    <t>SAN PEDRO MASAHUAT</t>
  </si>
  <si>
    <t>SAN LUIS LA HERRADURA</t>
  </si>
  <si>
    <t>SAN JUAN TEPEZONTES</t>
  </si>
  <si>
    <t>SAN RAFAEL OBRAJUELO</t>
  </si>
  <si>
    <t>SANTIAGO NONUALCO</t>
  </si>
  <si>
    <t>TAPALHUACA</t>
  </si>
  <si>
    <t>CONCHAGUA</t>
  </si>
  <si>
    <t>EL CARMEN</t>
  </si>
  <si>
    <t>INTUPUCA</t>
  </si>
  <si>
    <t>LA UNION</t>
  </si>
  <si>
    <t>MEANGUERA DEL GOLFO</t>
  </si>
  <si>
    <t>PASAQUINA</t>
  </si>
  <si>
    <t>SAN ALEJO</t>
  </si>
  <si>
    <t>SANTA ROSA DE LIMA</t>
  </si>
  <si>
    <t>CHIRILAGUA</t>
  </si>
  <si>
    <t>SAN JORGE</t>
  </si>
  <si>
    <t>SAN RAFAEL ORIENTE</t>
  </si>
  <si>
    <t>PANCHIMALCO</t>
  </si>
  <si>
    <t>ROSARIO DE MORA</t>
  </si>
  <si>
    <t>ACAJUTLA</t>
  </si>
  <si>
    <t>CALUCO</t>
  </si>
  <si>
    <t>CUISNAHUAT</t>
  </si>
  <si>
    <t>JUAYUA</t>
  </si>
  <si>
    <t>SALCOATITAN</t>
  </si>
  <si>
    <t>SAN ANTONIO DEL</t>
  </si>
  <si>
    <t>SAN JULIAN</t>
  </si>
  <si>
    <t>SANTA CATARINA</t>
  </si>
  <si>
    <t>SANTA ISABEL ISAHUATAN</t>
  </si>
  <si>
    <t>SANTO DOMINGO DE</t>
  </si>
  <si>
    <t>SONZACATE</t>
  </si>
  <si>
    <t>CALIFORNIA</t>
  </si>
  <si>
    <t>EREGUAYQUIN</t>
  </si>
  <si>
    <t>JUCUARAN</t>
  </si>
  <si>
    <t>OZATLAN</t>
  </si>
  <si>
    <t>PUERTO EL TRIUNFO</t>
  </si>
  <si>
    <t>SAN AGUSTIN</t>
  </si>
  <si>
    <t>SAN DIONISIO</t>
  </si>
  <si>
    <t>SAN FRANCISCO JAVIER</t>
  </si>
  <si>
    <t>SANTA ELENA</t>
  </si>
  <si>
    <t>SANTA MARIA</t>
  </si>
  <si>
    <t>TEPECAN</t>
  </si>
  <si>
    <t>ENTREGA DE PAQUETES AGRICOLAS A PRODUCTORES DE PROGRAMA 1 DEL PLAN DE AGRICULTURA FAMILIAR (SEGURIDAD ALIMENTARIA)</t>
  </si>
  <si>
    <t>Entrega de 100 libras de fertilizantes 16-20-0 y 22 lbde semilla de maiz, adicionalmente se entregarán 20 lb de semilla de frijol (pendiente aprobacion)</t>
  </si>
  <si>
    <t>abr-13</t>
  </si>
  <si>
    <t>sep-13</t>
  </si>
  <si>
    <t>Apoyar con la entrega de paquetes agricolas a productores de subsistencia para la seguridad alimentarios de la poblacion</t>
  </si>
  <si>
    <t>FONDOS GOES</t>
  </si>
  <si>
    <t>Asistir los CAS en temas de interes para lograr su desarrollo dentro del encadenamiento productiva de los territorios</t>
  </si>
  <si>
    <t>Apoyar en el area de desarrollo agroempresarial a la cadena Acuicola</t>
  </si>
  <si>
    <t>Apoyar en el area de desarrollo agroempresarial a la cadena de Granos basicos y Hortalizas</t>
  </si>
  <si>
    <t>2012</t>
  </si>
  <si>
    <t>2013</t>
  </si>
  <si>
    <t>Incrementar el nivel de los ingresos netos de las familias rurales a traves del mejoramiento dela competitividad de los negocios rurales y el encadenamiento productivo.</t>
  </si>
  <si>
    <t>Las actividades de este proyecto estan contempladas realizarse con fondos GOES y BCIE</t>
  </si>
  <si>
    <t>DGSV/MAG</t>
  </si>
  <si>
    <t>San Pedro Puxtla</t>
  </si>
  <si>
    <t>Caluco</t>
  </si>
  <si>
    <t>Rosario de Mora</t>
  </si>
  <si>
    <t>San Luis La Herradura</t>
  </si>
  <si>
    <t>Puerto El Triunfo</t>
  </si>
  <si>
    <t>Chirilagua</t>
  </si>
  <si>
    <t>Pasaquina</t>
  </si>
  <si>
    <t>Realizar capacitacionessobre aspectos de inocuidad</t>
  </si>
  <si>
    <t>Mediante charlas y amterial didactico, se enseña a la población meta, aspectos importantes relacionados con la inocuidad de los alimetos (Buenas Practicas Agricolas, Buenas Practicas de Manufactura, Almacenamiento Apropiado de Granos Basicos, etc.)</t>
  </si>
  <si>
    <t>Direccion General de Sanidad Vegetal</t>
  </si>
  <si>
    <t>US$73,541 por año</t>
  </si>
  <si>
    <t>Ejecución</t>
  </si>
  <si>
    <t>Promover la inocuidad en la produccion de alimentos de origen vegetal para el consumo humano</t>
  </si>
  <si>
    <t>Esta actividad esta incluida en el PAO institucional, siendo su ejecución anual por mandato</t>
  </si>
  <si>
    <t>MINED</t>
  </si>
  <si>
    <t>Centro de investigacion para la ciencia e innovación tecnología y una acuicultura sostenible OPTIMIZACION DEL ESQUEMA PRODUCTIVO DE CAMARON A TRAVES DE UN MODELO FORMATIVO DE ICT (INNOVACION, CIENCIA Y TECNOLIGIA)</t>
  </si>
  <si>
    <t>Experiencia piloto para la optimizacion del sistema tradicional de cultivo de camarón con un enfoque de fortalecimiento de la fuerza laboral y de asistencia tecnica en la Bahía de Jiquilisco</t>
  </si>
  <si>
    <t>Viceministerio de CT/MINED</t>
  </si>
  <si>
    <t>2015</t>
  </si>
  <si>
    <t xml:space="preserve">FOMILENIO Asocio para el crecimiento </t>
  </si>
  <si>
    <t>Estudio de caso de articulacion de componente educativa, asistencia tecnica e incremento del valos agregado del producto "camarón cultivado de la reserva de biosfera de B. de Jiquilisco</t>
  </si>
  <si>
    <t>La articulacion institucional con actores centrales para iniciar el proyecto ha iniciado, en colaboracion entre MEGATEC de la Unión; Inst. Nac. De Usulután, Camaroneros bajo la direccion de la DNICTI/VMCT del MINED ha iiciado con el establecimiento del curso de AQUA. del MEGATEC en San Ilario, Jiquilisco este 2013</t>
  </si>
  <si>
    <t>mayores detalles contactar a la Direccion Nacional de Investigacion de CTI, MINED</t>
  </si>
  <si>
    <t>Plan de Gobernabiliad y Planificación de la Gestión del Recurso Hídrico-Gobierno de España/AECID2010-201</t>
  </si>
  <si>
    <t xml:space="preserve">Objetivo: Contribuir a una gestión integral del recurso hidríco en el pais, priorizando el acceso sostenible al agua potable y saneamiento, a traves de la planificación y coordinacion de </t>
  </si>
  <si>
    <t>A nivel nacional</t>
  </si>
  <si>
    <t>Ministerio de Medio Ambiente y Recursos Naturales MARN</t>
  </si>
  <si>
    <t>AECID</t>
  </si>
  <si>
    <t>2010</t>
  </si>
  <si>
    <t>2014</t>
  </si>
  <si>
    <t>MARN</t>
  </si>
  <si>
    <t>Contribuir a una gestion integral del recurso hidríco en el pais, priorizando el acceso sostenible al agua potable y saneamiento, a traves de la planificacion y coordinacion de esfuerzos que conlleven tanto la inversion y el fortalecimiento de las capacidades institucionales y</t>
  </si>
  <si>
    <t>Formulacion de la propuesta de preparacion para REDDPLUSGEF/Banco Mundial28/07/2011-30/09/2012</t>
  </si>
  <si>
    <t xml:space="preserve">Incorporacion de la gestion de la Biodiversidad en Actividades de Pesca y Turismo en los Ecosistemas Costero/ Marino/ GEF/ PNUD.2011-2014 </t>
  </si>
  <si>
    <t>Este proyecto busca promover enfoques intrasectoriales para la conservacion de la BD a traves de los sectores de turismo y pesca, abordadndo una diversidad de riezgos que actualmente y potencialmente pueden afectar la biodiversidad</t>
  </si>
  <si>
    <t>Franja Costero Marina de El Salvador, con 18 municipios priorizados, (San Luis, L aHerradura, Conchagua, San Alejo, Pasaquina, Meanguera del Golfo, Intipucá, Tecoluca,  Zacatecoluca,  Puerto El Triunfo, San Dionisio, Jiquilisco, Usulután, Chirilagua, La Libertad, Jujutla, Acajutla, Tamanique, San Francisco Manéndez)</t>
  </si>
  <si>
    <t>MAG</t>
  </si>
  <si>
    <t>Contribucion al uso seguro de la biotecnologia en El Salvador GEF/PNUMA Agosto10-Agosto14</t>
  </si>
  <si>
    <t>Consolidar e implementar un sistema operativo para el uso seguro de la</t>
  </si>
  <si>
    <t xml:space="preserve">Mejoramiento de Fuentes y Conservación de Suelos en Microcuencas Priortarias-Programa de Agua y Saneamiento Rural. BID-2358/OC-ES.2011-2015 préstamo/ Donación AECID </t>
  </si>
  <si>
    <t>Planificación y coordinacion de esfuerzos que conlleven tanto la inversión y el fortalecimiento de las capacidads</t>
  </si>
  <si>
    <t>Programa de Restauración de Ecosistemas y Paisajes PREP</t>
  </si>
  <si>
    <t>Biodiversidad y sustentabilidad en el Áea de Conservación de Los Cobanos y Costa de Ahuachapán</t>
  </si>
  <si>
    <t>Promover y facilitar la restauracion de ecosistemas, cuencas y paisajes rurales como mecanismo para asegurar los servicios ecosistémicos y la conservación de la biodiversidad como forma de adaptarse a los impactos de cambio climático, sobre todo la variabilidad en el clima Metas:             a)Rehabilitar los procesos ecologicos y ecosistematicos para recuperar la resiliencia y desarrollar los sevicios eco-sistémicos claves (regulación hidríca, fertilidad de suelos) wue pueden reducir los riezgos socio-ambientales, estimular actividades productivas y asegurar los medios de</t>
  </si>
  <si>
    <t>Territorio del Bajo Lempa incluyendo los municipios de Zacatecoluca, Tecoluca y Jiquilisco. Son los municipios que bordean ambos lados de Río Lempa en su delta, municipios de Cinquera, Suchitoto y Jutiapa Chalatenango, Las Vueltas, San José Ojos de Agua, El Carrizal, La Laguna, Comalapa y concepción Quezaltepeque</t>
  </si>
  <si>
    <t>Este Proyecto consiste en la adopción de actividades agroforestales ecoeficientes, promover las practicas sostenibles de uso de la tierra y buenas practicas en el cultivo de caña de azucar , promover la gestión inclusiva del área de conservación, y restaurar los ecosistemas costeros</t>
  </si>
  <si>
    <t>Área de conservación de Cóbanos, Departamento de Sonsonate, y Área de conservación El Imposible-Barra de Santiago, Barra de Santiago Santa Rita Ahuachapan</t>
  </si>
  <si>
    <t>Incorporar la conservación de la biodiversisas en el sector agricultura, incluyendo en la planificación y desiciones del sector, los criterios de reducción de riesgos y disminucion de la vulnerabilidad ante el Cambio Climatico, garantizando la conservación de ecosistemas almatente prioritarios del país</t>
  </si>
  <si>
    <t>MOP</t>
  </si>
  <si>
    <t>CONSTRUCCION DE BORDAS EN EL RÍO HUIZA CANTÓN MELARA, MUNICIPIO Y DEPARTAMENTO DE LA LIBERTAD</t>
  </si>
  <si>
    <t>OBRAS DE PROTECCIÓN EN BASES DE FUENTE SOBRE RÍO JUANA, MUNICIPIO DE USULUTÁN, USULUTÁN</t>
  </si>
  <si>
    <t>Obra de Mitigación</t>
  </si>
  <si>
    <t>Junio 2014</t>
  </si>
  <si>
    <t>MOPTVDU</t>
  </si>
  <si>
    <t>Pre-Inversión</t>
  </si>
  <si>
    <t>-</t>
  </si>
  <si>
    <t>Diciembre 2014</t>
  </si>
  <si>
    <t>Diciembre 2015</t>
  </si>
  <si>
    <t>Reducir el riesgo de inundacion a las zonas aledañas a los margenes del</t>
  </si>
  <si>
    <t>Proteger la sub estructura del puente, de tal forma evitar un daño mayor y</t>
  </si>
  <si>
    <t>En búsqueda de financiamiento. Las fechas se has estimado con periodos de tiempo de promedio para</t>
  </si>
  <si>
    <t>MEJORAMIENTO DE CAMINO TERCIARIO LIB22S:Et. LIB05W (DV. COMASAGUA) - Dv. LIB18S (CHILTIUPAN) LA LIBERTAD</t>
  </si>
  <si>
    <t>Mejoramiento de las condiciones de transitabilidad</t>
  </si>
  <si>
    <t>Chiltiupan</t>
  </si>
  <si>
    <t>Mayo 2013</t>
  </si>
  <si>
    <t>MOPTVDU/PNUD</t>
  </si>
  <si>
    <t>En ejecucion</t>
  </si>
  <si>
    <t>MEJORAMIENTO DE CAMINO RURAL LIB16S TRAMO LIB22S - TAMANIQUE. LA LIBERTAD</t>
  </si>
  <si>
    <t>Tamanique</t>
  </si>
  <si>
    <t>Marzo 2013</t>
  </si>
  <si>
    <t>Marzo 2014</t>
  </si>
  <si>
    <t>Pre-Inversion</t>
  </si>
  <si>
    <t>AMPLIACIÓN DE UN TRAMO DEL CAMINO TERCIARIO LIB05W: TRAMO CA04S-LIB15S (DESVIO A COMASAGUA) LA LIBERTAD</t>
  </si>
  <si>
    <t>Comasagua</t>
  </si>
  <si>
    <t>Febrero 2014</t>
  </si>
  <si>
    <t>MEJORAMIENTO CAMINO RURAL AHU16S TRAMO: APANECA - QUEZALAPA - HACIA SAN PEDRO PUXTLA, APANECA, AHUACHAPAN D.D. VUS$100,000</t>
  </si>
  <si>
    <t>Apaneca</t>
  </si>
  <si>
    <t>Mayo 2014</t>
  </si>
  <si>
    <t>MEJORAMIENTO DE CAMINO RURAL LIB18N: TRAMO LIB22S - CHILTIUPAN, LA LIBERTAD</t>
  </si>
  <si>
    <t>MEJORAMIENTO CAMINO TERCIARIO SAV29S, TRAMO SAN CARLOS LEMPA (SAV 09S) HACIA LA PITA, TECOLUCA, SAN VICENTE)</t>
  </si>
  <si>
    <t xml:space="preserve">Los principales objetivos buscados son: 1) Sacar a El Salvador de la crisis, 2) Tomar la ruta hacia el desarrollo, y 3) Construir y consolidar la democracia y el </t>
  </si>
  <si>
    <t>Establecer los indices para medir el progreso de la zona.</t>
  </si>
  <si>
    <t>OBRAS CIVILES PUENTE SOBRE RIÓ TIHUAPA, CANTON CANGREJERA, CASERIO VICTORIA, 500 METRO AGUAS ARRIBA DE PUENTE CANGREJERA CA02.</t>
  </si>
  <si>
    <t>Junio 2013</t>
  </si>
  <si>
    <t>Noviembre 2013</t>
  </si>
  <si>
    <t>Proporcionar soluciones a zona que fueron afectadas por la tormenta tropical IDA</t>
  </si>
  <si>
    <t>CONSTRUCCIÓN DE EMPEDRADO Y FRAGUADO DE CALLE SAN MARTIN, MUNICIPIO GUAYMANGO, AUHACHAPAN</t>
  </si>
  <si>
    <t>Guaymango</t>
  </si>
  <si>
    <t>GOES</t>
  </si>
  <si>
    <t>Proyecto con asignacion por parte de la Asamblea Legislativa</t>
  </si>
  <si>
    <t>OBRAS CIVILES PUENTE SAN ANTONIO SOBRE RIO SAN ANTONIO - LA LIBERTAD EN CARRETERA CA02 LITORAL</t>
  </si>
  <si>
    <t>Obra de Miitigacion</t>
  </si>
  <si>
    <t>Agosto 2014</t>
  </si>
  <si>
    <t>USAID/MOPTVDU</t>
  </si>
  <si>
    <t>Licitacion</t>
  </si>
  <si>
    <t>Construir y rehablitar escuelas, unidades de salud y puentes de los departamentos mas afectados por la tormenta</t>
  </si>
  <si>
    <t>Proyecto contratado y administrado por USAID</t>
  </si>
  <si>
    <t>CAMINO RURAL TAPALHUACA - SAN FRANCISCO CHINAMECA, DEPARTAMENTO DE LA PAZ</t>
  </si>
  <si>
    <t>San Francisco Chinameca</t>
  </si>
  <si>
    <t>BID/AECID/LA  IF</t>
  </si>
  <si>
    <t>Mejorarlas condiciones de la infraestructura vial rural, a fin de posibilitar el transporte permanente en dicha zona dando prioridad aquellas zonas que cuentan</t>
  </si>
  <si>
    <t>PUENTE BINACIONAL (FRONTERA EL SALVADOR - GUATEMALA), GENERAL MANUEL JOSE ARCE</t>
  </si>
  <si>
    <t>Construccion de nuevo puente</t>
  </si>
  <si>
    <t>San Francisco Menendez</t>
  </si>
  <si>
    <t>Fondos Yucatán</t>
  </si>
  <si>
    <t>Abril 2015</t>
  </si>
  <si>
    <t>El puente tiene una importancia estrategica, debido a que esta ubicado en la carretera El Litoral que se constituye en el Corredor del Pacifico, via que une Mexico (Puebla) hasta Panama considerando el</t>
  </si>
  <si>
    <t>ADECUACIÓN Y AMPLIACIÓN DE CARRETERA CA02E, TRAMO: DESVÍO COMALAPA (PAZ31N) - DESVÍO AEROPUERTO EL SALVADOR (RN055) - ZACAECOLUCA (ROTONDA) LONGITUD 27.17 KM. DEPARTAMENTO DE LA PAZ.</t>
  </si>
  <si>
    <t>Construccion de dos carriles adicionales</t>
  </si>
  <si>
    <t>San Luis Talpa - Zacatecoluca</t>
  </si>
  <si>
    <t>Fomilenio II</t>
  </si>
  <si>
    <t>Septiembre 2013</t>
  </si>
  <si>
    <t>Septiembre 2015</t>
  </si>
  <si>
    <t>Se contribuirá a disminuir los costos y los tiempos de transporte asi como el transporte asi como el acceso a la infraestructura logistica, a partir de la provisión de carreteras que complementaran y mejoraán la red existente,  co las que se espera disminuir costos y tiempos logísticos, principalmente de transporte de carga en las carreteras y caminos rurales transversales del Corredor Logistico y de Transporte de El Salvador, desde los centros de producción hacia los puertos, el Aeropuerto y los pasos fornterizos.</t>
  </si>
  <si>
    <t>fecha de ejecución estimada</t>
  </si>
  <si>
    <t>Rehabilitacion de la Carretera CA01E, Tramo: Sirama - Puente de la Amistad (El Amatillo). Longitud 32.84 km. Departamento de La Union.</t>
  </si>
  <si>
    <t>Mejoramiento de las condiciones de la via existente</t>
  </si>
  <si>
    <t>La Unión - Pasaquina</t>
  </si>
  <si>
    <t>Septiembre 2014</t>
  </si>
  <si>
    <t>Septimbre 2015</t>
  </si>
  <si>
    <t>STP/ MOPTVDU</t>
  </si>
  <si>
    <t>Pre-inversión</t>
  </si>
  <si>
    <t>Reconstruccion del Camino Rural USU08S (Transversal a la Litoral), Tramo CA02E (Desvio Sa Marcos Lempa) - La Canoa. Longitud 17.62 km. Departamento de Usultan.</t>
  </si>
  <si>
    <t>Rehabilitación de vía existente</t>
  </si>
  <si>
    <t>Mejoramiento Camino Vecinal Tramo CA02E (Tierra Blanca) -  Canton California - Salinas El Zompopero, Municipio de Jiquilisco; Departamento de Usulutan, Longitud 6.28 km.</t>
  </si>
  <si>
    <t>Tierra Blanca - Jiquilisco</t>
  </si>
  <si>
    <t>Septiembre 2016</t>
  </si>
  <si>
    <t>MEJORAMIENTO CAMINO TERCIARIO RUTA USU25N TRAMO; CA02E SAN AGUSTIN - SAN FRANCISCO JAVIER, DEPTO. USULUTAN.</t>
  </si>
  <si>
    <t>Mejoramiento de las condicines de transitabilidad</t>
  </si>
  <si>
    <t>San Francisco Javier</t>
  </si>
  <si>
    <t>Abril 2014</t>
  </si>
  <si>
    <t>Mejorar la conecividad rural y contribuir a dinamizar la economía de sectores deprimidos.</t>
  </si>
  <si>
    <t>MEJORAMIENTO CAMINO RURAL LIB21E ACCSO A TEOTEPEQUE A JICALAPA, DEPTO. LA LIBERTAD.</t>
  </si>
  <si>
    <t>Teotepeque - Jicalapa</t>
  </si>
  <si>
    <t>Mejorar la conectividad rural y contribuir a dinamizar la economía de sectores deprimidos.</t>
  </si>
  <si>
    <t>3 Accesos a la costa en Bahia de Jiquilisco.</t>
  </si>
  <si>
    <t>Agosto 2015</t>
  </si>
  <si>
    <t>Dinamizar el sector pesquero en la zona de la bahia de Jiquilisco y contribuir a que los.</t>
  </si>
  <si>
    <t>Ampliacion de la Carretera RN19E . La Union, Municipios de Conchagua y La Union, Departamento de La Union.</t>
  </si>
  <si>
    <t>Conchagua - La Unión</t>
  </si>
  <si>
    <t>Brindar a la Ciudad Puerto de un acceso adecuado para fomentar la economía local, el turismo y el traslado de.</t>
  </si>
  <si>
    <t>MEJORAMIENTO CAMINO RURAL USU20S, JUQUILISCO - PUERTO AVALOS.</t>
  </si>
  <si>
    <t>MEJRAMIENTO APERTURA DE CAMINO VECINAL TRAMO: CANTON AMAPALITA - CANTON LAS PLAYITAS, MUNICIPIO DE LA UNION, DEPARTAMENTO DE LA UNION.</t>
  </si>
  <si>
    <t>Abril 2016</t>
  </si>
  <si>
    <t>MEJORAMIENTO DE CAMINO RURAL TRAMO: CA01 CANTON PIEDRAS BLANCAS.</t>
  </si>
  <si>
    <t>Construir un puente definitivo sobre el Río Huiza a lo largo de la carretera El Litoral que centa con todas.</t>
  </si>
  <si>
    <t>RECONSTRUCCION DEL PUENTE SOBRE EL RIO HUIZA, KM 44.2 DE LA CARRETERA CA02E, CANTON MELARA, MUNICIPIO Y DEPARTAMENTO DE LA LIBERTAD.</t>
  </si>
  <si>
    <t>Construcción de puente</t>
  </si>
  <si>
    <t>Actualmente se realizan gestiones con el BID para la obtención de financiamiento. Fechas de ejecución supuestas.</t>
  </si>
  <si>
    <t xml:space="preserve">En búsqueda de fianciamiento. Las fechas se han estimado con períodos de tiempo promedio para </t>
  </si>
  <si>
    <t>CEPA</t>
  </si>
  <si>
    <t>Programa de Becas para el Modelo Educativo Gradual de Aprendizaje Tecnico y Tecnológico MEGATEC</t>
  </si>
  <si>
    <t>Programa de Fortalecimiento de la Cohesión Social en el Sector Educativo de El Salvador</t>
  </si>
  <si>
    <t>Proyecto Italia</t>
  </si>
  <si>
    <t>CURSOS TECNICOS (DIPLOMADOS) EDUCACIÓN PARA JOVENES Y ADULTOS</t>
  </si>
  <si>
    <t>Estudio de Pre-factibilidad para el desarrollo de la Industria Aeronáutica en El Salvador</t>
  </si>
  <si>
    <t>El modelo Educativo Gradual de Aprendizaje Técnico  y Tecnológico MEGATEC, está concevido como un proceso de innovación educativa, adecuada para responder exigencias de desarrollo social, científico, tecnológico y del sector productivo del pais, respetandose y atendiendose los intereses vocacionales de las personas y las necesidades de sus comunidades MEGATEC busca potenciar y articularla Educación media Técnica con la Educación Tecnológica superior  como estrategia educativa que desarrolle la formacion de mas profesionales permitiendo a la poblacion mejorar su</t>
  </si>
  <si>
    <t>El programa de Fortalecimiento de la Cohesión Social en el Sector Educativo de El Salvador, en su componente III: Fortalecimiento de la Educación Media Técnica, desarrolla una transformacion educativa integral de 10 Bachilleratos Técnicos vocacionale considerados como estrategicos para el desarrollo de la población, cuyas especialidades serán en las áreas de agroindustria, cultura, mecanica general, mecanica automotriz, comercio, turismo, salud, electrónica, desarrollo de software y tecnoligía de información y comunicación</t>
  </si>
  <si>
    <t>Sonsonate, La Unión y Zacatecoluca</t>
  </si>
  <si>
    <t>Ene-13</t>
  </si>
  <si>
    <t>Dic-13</t>
  </si>
  <si>
    <t>MINED e Instituciones de Educacion Superior</t>
  </si>
  <si>
    <t>Su linea base se encuentra en el documento "FUNDAMENTOS DE LA EDUCACION MEDIA TECNICA Y TECNOLÓGICA"</t>
  </si>
  <si>
    <t>MEGATEC inicia en el año 2006 y no se tiene previsto la fecha del cierre del programa</t>
  </si>
  <si>
    <t>En ejecución</t>
  </si>
  <si>
    <t>Usulután, Jiquilisco, Pto. El Triunfo, Santa Rosa de Lima, La Unión, El Transito, Zacatecoluca, San Juan Tepezontes, Santiago Nonualco, San Luis Talpa, Sonsonate, Izalco, Acajutla, Juayua y Sonzacate</t>
  </si>
  <si>
    <t>UNION EUROPEA</t>
  </si>
  <si>
    <t>Este programa inicio durante el año 2009 finalizando en el año 2014</t>
  </si>
  <si>
    <t>a. 2517 estudiantes becarios y;                                                                 b.Directores, personal tecnico y administrativo de 3 sedes MEGATEC y de 10 Instituciones de Educacion Media con la cual estan vinculadas, en carreras como: Técnico en Logística y aduanas, Técnico en Logística Global, Técnico en Ing. Electrica y Tecnico eb Gestión y Desarrollo Turistico</t>
  </si>
  <si>
    <t>a. 49 Centros Educativos implementadores de los 10 planes de studio, dotados de equipo mobiliario, material didactico y adecuaciones en infraestructura                          b.al menos 490 docentes del área de formacion general y técnica, implemetadores de los 10 planes de estudios, capacitados.                                c2418 estudiantes becarios en las nuevas especialidades del BTV                                                d.300 docentes de educacion media tecnica capacitados en el programa de orientacion vocaional y 11,000 estudiantes formados en estas áreas</t>
  </si>
  <si>
    <t>Fortalecer la Educacion Media Técnica desarrollada en 49 centos Nacionales de toso el país, en áreas puntuales y en concordancia con las necesidades productivas de cada zona.</t>
  </si>
  <si>
    <t>San Alejo, Intipuca, Jiquilisco</t>
  </si>
  <si>
    <t>Cooperacion Italiana</t>
  </si>
  <si>
    <t>Ene-14</t>
  </si>
  <si>
    <t>Dic-16</t>
  </si>
  <si>
    <t>Diseño</t>
  </si>
  <si>
    <t>En diseño</t>
  </si>
  <si>
    <t>Diplomado de Agricultura Sostenible</t>
  </si>
  <si>
    <t>Banquetes, Cuidado del Cabello</t>
  </si>
  <si>
    <t>Cocina, pastelería y Artesanías</t>
  </si>
  <si>
    <t>Mecania Automotriz, Corte y Confección, Panadería, Estética  y belleza, Asistente Administrativo y Ventas</t>
  </si>
  <si>
    <t>Producción Agropecuaria</t>
  </si>
  <si>
    <t>3 municipios: Concepción Batres, Ozatlán y Santa Elena</t>
  </si>
  <si>
    <t>16 municipios</t>
  </si>
  <si>
    <t>5 municipios</t>
  </si>
  <si>
    <t>2 municipios</t>
  </si>
  <si>
    <t>Determinar la Prefactibilidad Técnica Economica del Proyecto "Desarrollo de la Industria Aeronáutica en El Salvador" Incluye la parte de Fortalecimiento  de la formación técnica y/o profesional relacionada a aeronáutica</t>
  </si>
  <si>
    <t>San Luis Talpa, Ilopango y Zaragoza</t>
  </si>
  <si>
    <t>Ministerio de Economía PROESA y  CEPA</t>
  </si>
  <si>
    <t>FOSEP</t>
  </si>
  <si>
    <t>PRE-FACTIBILIDAD se tiene dos informes tecnicos y en febrero esta programado recibir el informe Final del Estudio, que incluye lo</t>
  </si>
  <si>
    <t>Identificar el potencial del sector Aeronáutico salvadoreño como u eje estratégico de atracción deminversión estranjera y desarrollo productivo, que nos ayude a crear una visión de desarrollo sostenible, diversificando y diferenciando nuestra industria local, asi como</t>
  </si>
  <si>
    <t>Universidad, centros de formación y escuelas con programas de estudio relacionados a la aviación</t>
  </si>
  <si>
    <t xml:space="preserve">FOSEP MINISTERIO DE </t>
  </si>
  <si>
    <t>El documento esta siendo elaborado por la Consultora española ALG Europraxis (transporte, Infraestructura y Logística)</t>
  </si>
  <si>
    <t>El proyecto Italia rsponde a la necesidad de ampliar la oferta educativa del nivel de Educación Media para mejorar la productividad en 12 departamentos de El Salvador, contibuyendo a la vez a la reconversión y moderniozacion del sector agropecuario e industrial en la zona de influencia. Este proyecto busca lograr una nueva generación de Bachilleres generales y técnicos que, desde la práctica, y el estudio, se enlacen al trabajo administrativo y otras prácticas empresariales que les darán mejores oportunidades para la consecución de empleo</t>
  </si>
  <si>
    <t>a. Aumentar la oferta de Educación Media Técnica acorde al desarrollo productivo de la zona y a los intereses locales.              B.Formar al personal docente para incrementar la efectividad y eficiencia del proceso de formación de los estudiantes.                  C.Rehabilitar la infraestructura escolar y dotar con el equipo,  la tecnología y material didactico necesario para el desarrollo efectivo de la oferta educativa.            D.Brindar Becas para alojamiento, alimetación y transporte de tal manera que permita reducir la deserción escolar en la zona de influencia del proyecto</t>
  </si>
  <si>
    <t>Fomento a la producción y productividad en los cultivos de granos básicos, hortalizas y frutales en El Salvador</t>
  </si>
  <si>
    <t>USAID</t>
  </si>
  <si>
    <t xml:space="preserve">TOTAL </t>
  </si>
  <si>
    <t xml:space="preserve">Programa Regional USAID para el Manejo de Recursos Acuaticos y Altenativas Economicas </t>
  </si>
  <si>
    <t>Programa de Conservacion de la Tortuga Marina y Mejoramiento de Comunidades</t>
  </si>
  <si>
    <t xml:space="preserve">Programa regional de gestion de recursos costero marinos que impulsa politicas y normas regionales armonizadas para el mejor manejo de los recursos costero marinos asi como la implementacion de mejores practicas en el uso de los recursos.  Su objectivo general es reducir las amenazas provocadas por prácticas insostenibles de pesca y el desarrollo costero, estableciendo las bases para los mecanismos de derechos de acceso, que fortalezcan la gestión de recursos y la biodiversidad marino-costera y conserven la biodiversidad marino-costera crítica en el Istmo Centroamericano. </t>
  </si>
  <si>
    <t>Actividades de campo se desarrollan en Jiquilisco y La Union</t>
  </si>
  <si>
    <t>Ministerio Medio Ambiente y Recursos Naturales</t>
  </si>
  <si>
    <t>Programa bilateral de USAID para la conservacion de las tortugas marinas a traves del manejo de viveros en playas a lo largo de la costa salvadorena.</t>
  </si>
  <si>
    <t>Municipios costeros a lo largo del pais.</t>
  </si>
  <si>
    <t>Ministerio Medio Ambiente y Recursos Naturales / Ministerio de Turismo</t>
  </si>
  <si>
    <t>Abril 2011</t>
  </si>
  <si>
    <t xml:space="preserve">USAID </t>
  </si>
  <si>
    <t>Ejecucion</t>
  </si>
  <si>
    <t xml:space="preserve">• Promover el control efectivo y la ejecución de las políticas y legislación de los recursos marino-costeros.
• Fomentar mecanismos basados en derechos y el mercado, así como los incentivos de gestión para la conservación y utilización sostenible de los recursos marino/costeros y sus ecosistemas asociados, con énfasis en la gestión basada en el enfoque de ecosistema.
</t>
  </si>
  <si>
    <t>Este es un programa regional que se disena considerando un analisis desarrollado por el USAID en lationamerica y el caribe.</t>
  </si>
  <si>
    <t>Numero de hectareas bajo mejor manejo. Numero de personas capacitadas. Cantidad de fondos apalancados. Cantidad de fondos provenientes de la venta de productos bajo mejores practicas.</t>
  </si>
  <si>
    <t>Promover el desarrollo socio economico de comunidades costeras mediante el uso no consumptivo de la tortuga marina. Desarrollo de alternativas ecomicas mediante el ecoturismo.</t>
  </si>
  <si>
    <t>Estudio base de USAID 2009</t>
  </si>
  <si>
    <t>Numero de tortugas neonatos liberados.</t>
  </si>
  <si>
    <t>KOICA</t>
  </si>
  <si>
    <t>Desarrollo del Sistema de Riego para la Mejora de la Productividad del Arroz en El Salvador</t>
  </si>
  <si>
    <t>Ministerio de Agricultura y Ganadería (MAG)</t>
  </si>
  <si>
    <t>Nacional</t>
  </si>
  <si>
    <t xml:space="preserve">KOICA </t>
  </si>
  <si>
    <t>Universidad de El Salvador (UES)</t>
  </si>
  <si>
    <t>Finalizado</t>
  </si>
  <si>
    <t>Proyecto de Mejoramiento de la Producción y Extensión de la Tecnología de Acuicultura de Moluscos</t>
  </si>
  <si>
    <t>Proyecto de Fortalecimiento de las Capacidades para Desarrollo de Tursimo Rural en la Región Oriental de El Salvador</t>
  </si>
  <si>
    <t>Proyecto de Un Pueblo Un Producto</t>
  </si>
  <si>
    <t>Fortalecimiento de Cadenas Productivas Agricolas en la Región Oriental (Nombre provisional)</t>
  </si>
  <si>
    <t>Desarrollo de Capacidades de Facilitadores para el Mejoramiento de la Productividad y Calidad para Pequeñas y Meridanas Empresas II (Proyecto Regional)</t>
  </si>
  <si>
    <t xml:space="preserve">JICA </t>
  </si>
  <si>
    <t xml:space="preserve">El Proyecto tiene como objetivo consolidar acuicultura de moluscos para los pescadores artesanales en la zona oriente del país. El Proyecto consiste en dos líneas de acción; 1) la transferencia tecnológica a CENDEPESCA en Puerto el Triunfo para la producción masiva de semillas de curil, casco de burro y ostra japonesa con el fin de atender la demanda nacional de los productores, y 2) la difunción de la acuicultura a los pescadores artesanales en la Bahia de Jiquilisco y el Golfo de Fonseca. También el Proyecto brinda asistencia para la comercialización de moluscos a través de alianza estratégica con otros actores relevantes en el país. </t>
  </si>
  <si>
    <t>Los municipios en la zona del Golfo de Fonseca y la Bahia de Jiquilisco.</t>
  </si>
  <si>
    <t>CENDEPESCA/ MAG</t>
  </si>
  <si>
    <t>En los 13 municipios de la Mancomunidad de la Bahia de Fonceca, el proyecto apoyó, através de CORSATUR, la creación y el fortalecimiento de CDTs municipales y regional y promovío el desarrollo turistico rural participativo.  Los CDTs realizaron cinco proyectos piloto en la zona, inclusive un tur de las islas del Golfo de Fonseca. El Proyecto consistió en cuatro componentes; 1) Desarrollo de estrategía para el desarrollo turistico de la Región Oriental, 2) Fortalecimiento de las capacidades organizacionales de los CDT y de las institucionales de CORSATUR a traves de capacitaciones e implementación de proyectos piloto, y 4) Difunsión del modelo del desarrollo turistico en dicha mancomunidad a otros departamentos de la Región.</t>
  </si>
  <si>
    <t xml:space="preserve">Santa Rosa de Lima, Pasaquina, Bolivar, San Jose de la Fuente, Yucuaiquin, Yayantique, San Alejo, La Unión Meanguera del Golfo, Conchagua, El Carmen, Chirilagua, Intipuca. </t>
  </si>
  <si>
    <t>MITUR/CORSATUR</t>
  </si>
  <si>
    <t>A traves del envío de expertos japoneses, capacitaciones y seminarios, el Proyecto pretende asistir difunción y adaptación de la metodología de Un Pueblo Un Producto en El Savador, con la finalidad de contribuir a promoción de la economía local y creación de empleo.</t>
  </si>
  <si>
    <t>La Palma, Concepción Quezaltepeque, Dulce Nombre de Maria, Jayaque, Panchimalco, Tepecoyo, Illobasco, San Sebastian, Nahuizalco, Apaneca, Santo Domingo de Guzman, Chalchuapa, Metapan, El Congo, San Lorenzo, Santa Ana, Caluco, Izalco, Santa Maria Ostuma, Tecoluca, San Vicente, Olocuilta, Verapaz, Puerto El Triunfo Isla del Espiritu Santo, San Alejo, Guatajiagua, Jocoaitique, Chinameca, Santa Tecla, Cojutepeque, Suchitoto, Santa Clara</t>
  </si>
  <si>
    <t>CONAMYPE</t>
  </si>
  <si>
    <t xml:space="preserve">Los cuatro departamentos en la Zona Oriental </t>
  </si>
  <si>
    <t>Consolidar acuacultura de moluscos para los pescadores artesanales en la zona oriente del país</t>
  </si>
  <si>
    <t>Las necesidades identificadas para infraesturactura: Puerto pesquero en La Unión y Puerto el Triunfo</t>
  </si>
  <si>
    <t>Terminado</t>
  </si>
  <si>
    <t xml:space="preserve">Fortalecer las capacidades de los Comités de Desarrollo Turístico (CDT) para promover el desarrollo turístico comunitario utilizando los recursos locales. 
</t>
  </si>
  <si>
    <t xml:space="preserve">Se va a comenzar un nuevo proyecto del monto USD 50000 para seguimiento de este poryecto. </t>
  </si>
  <si>
    <t xml:space="preserve">Establecer estrategias específicas para el desarrollo económico utilizando la metodología de Un Pueblo Un Producto y brindar apoyo técnico necesario para reforzar las capacidades institucionales de CONAMYPE para llevar acabo de Un Producto Un Pueblo en el país. </t>
  </si>
  <si>
    <t>Futuro</t>
  </si>
  <si>
    <t>Mejorar el nivel de ingresos de los pequeños productores en la Región Oriental a traves de promoción de comercializacion de sus productos (Provisional)</t>
  </si>
  <si>
    <t>MINEC</t>
  </si>
  <si>
    <t>SWISS CONTACT</t>
  </si>
  <si>
    <t>Por definir</t>
  </si>
  <si>
    <t xml:space="preserve">NUCLE0 </t>
  </si>
  <si>
    <t>MONTO POR NUCLEO</t>
  </si>
  <si>
    <t xml:space="preserve">1,621,960 </t>
  </si>
  <si>
    <t xml:space="preserve">BID </t>
  </si>
  <si>
    <t>PNUD</t>
  </si>
  <si>
    <t xml:space="preserve">Promoción de encadenamientos productivos </t>
  </si>
  <si>
    <t>Red del conocimiento e innovación sobre la costa y el mar</t>
  </si>
  <si>
    <t>Infraestructura productiva y conectividad territorial</t>
  </si>
  <si>
    <t>Fortalecimiento de la institucionalidad para el desarrollo e inversión productiva</t>
  </si>
  <si>
    <t xml:space="preserve">Fortalecimiento y formación  de capacidades (técnica y profesional) </t>
  </si>
  <si>
    <t>EJE</t>
  </si>
  <si>
    <t>Mejora de la calidad ambiental y de la gestión de riesgos y adaptación al cambio climático*</t>
  </si>
  <si>
    <t xml:space="preserve">ACTUALES </t>
  </si>
  <si>
    <t>EN GESTION</t>
  </si>
  <si>
    <t>SIN FINANCIAMIENTO</t>
  </si>
  <si>
    <t>$ MM</t>
  </si>
  <si>
    <t>Promocion y Desarrollo de Tecnología Agropecuaria</t>
  </si>
  <si>
    <t>ES-L1058 : Programa de Innovación para la Competitividad</t>
  </si>
  <si>
    <t>Proyecto de Fortalecimiento de las Capacidades de Producción de Artesanías.</t>
  </si>
  <si>
    <t>Swiss Contact</t>
  </si>
  <si>
    <t xml:space="preserve">Autoempleo y emprendedurismo </t>
  </si>
  <si>
    <t xml:space="preserve"> “Empresarialidad” con duración de un año que concluirá en Octubre de 2013. Se abrio la participación al sector turístico rural con participación activa de la comunidad como planificadores y gestores buscando privilegiar el patrimonio ambiental y la sostenibilidad. (Comunidades del Golfo de Fonseca).</t>
  </si>
  <si>
    <t>Proyectos de accceso al agua, practica ambientales y pesca sostenible.</t>
  </si>
  <si>
    <t>FISDL / ANDA / MARN</t>
  </si>
  <si>
    <t>Chemonics</t>
  </si>
  <si>
    <t>Naconal</t>
  </si>
  <si>
    <t xml:space="preserve">Mejorar las condicione del empleo. Responder a la demada de la empresa privada con oferta estudiantil acorde a lals necesidades. Mejorar el acceso al primer empleo. </t>
  </si>
  <si>
    <t>Programa para Mejorar el Acceso al Empleo</t>
  </si>
  <si>
    <t xml:space="preserve"> Programa para el Desarrollo de las PYME </t>
  </si>
  <si>
    <t>Apoyo al PYMES  para obtener un mayor acceso a servicios de desarrollo empresarial de calidad, que les permita incrementar su productividad y competitividad, así como ampliar sus operaciones en mercados locales e internacionales.</t>
  </si>
  <si>
    <t>Proyecto de Competitividad Municipal</t>
  </si>
  <si>
    <t>42 municipios</t>
  </si>
  <si>
    <t>Concurso de Ideas de Negocios. Cuarenta ideas de negocios de 42 municipios del país serán premiadas con asistencia técnica para formular su plan de negocios que les permita iniciar o expandir dichas ideas en el mercado.</t>
  </si>
  <si>
    <t>FUSAI</t>
  </si>
  <si>
    <t>Programa de Desarrollo Turístico de La Franja Costeri Marina (ES-L1066)</t>
  </si>
  <si>
    <t xml:space="preserve">Componente 1. Puesta en Valor de Atractivos Turísticos </t>
  </si>
  <si>
    <t>MIITUR-CORSATUR</t>
  </si>
  <si>
    <t>BID</t>
  </si>
  <si>
    <t>2018</t>
  </si>
  <si>
    <t>Usulutan y La Libertad</t>
  </si>
  <si>
    <t>2,3</t>
  </si>
  <si>
    <t>LUX-DEV</t>
  </si>
  <si>
    <t>LUX DEV</t>
  </si>
  <si>
    <t>FOCAP - PNUD</t>
  </si>
  <si>
    <t>Fondos para el Programa Comunidades Solidarias y Consolidación del Sistema de Protección Social Universal y de las políticas estratégicas de reducción de la pobreza, la inequidad de género y la exclusión social del PNUD.  Busca que las comunidades  y municipalidades atendidas por Comunidades Solidarias Urbanas y otras instituciones incorporen prácticas de gestión de riesgos y adaptación al cambio climático</t>
  </si>
  <si>
    <t>Proyectos de accceso al agua, prácticas ambientales y Apoyo a Red Solidaria</t>
  </si>
  <si>
    <t>Desarrollo de centros de interpretación , muelles, embarcaderos, malecones, mercados tradicionales, miradores paisajísticos; infraestructura habilitantes en Puerto La Libertad, Parque Deinninger, Puerto El Triunfo, Puerrto Parada, Isla Pajarito, Madresal, Méndez)</t>
  </si>
  <si>
    <t>Aprobado BID. Pendiente de ratificación en AL</t>
  </si>
  <si>
    <t>Componente 4.  Gestión Ambiental de los destinos turísticos. Sistema de Monitoreo de calidad ambiental y aguas residuales. Planes de ordenamiento terriotorial en La Libertad y Usulutan. Uso de zonas de alta diversidad en Asocio Público, Proyectos de saneamiento de aguas residuales y fortalecimiento de oficinas ambientales del MARN en La Libertad y Usulután.</t>
  </si>
  <si>
    <t>Nacional. Con énfasis en la FCM</t>
  </si>
  <si>
    <t>Desarrollo de Complejos de innovación tecnológica en áreas priorizadas. Formación de PHD en ciencias exactas. Proyectos de innovación para la productividad. Centro de Alimentos y Bebidas. Porgramas sectoriales específicos en sectores prioriados. Observatorio salvadoreño de la Innovación. Programas de Gestión empresarial. Programas de incubación y emprendimiento.</t>
  </si>
  <si>
    <t>Componente 3.  Gobernanza turística y gestion de entidades público-privada funcionando.</t>
  </si>
  <si>
    <t>Sistema estadístico de turismo, marco normativo, fortalecimiento de POLITUR, Sistemas de articulación Púbico-Privado. Promoción de productos y destinos turísticos.</t>
  </si>
  <si>
    <t>Componente 2.  Fortalecimiento de empresndimientos locales en Usulután y La Libertad.</t>
  </si>
  <si>
    <t>Componentes: Plan de comunicación y participación del programa, Análisis de la cadena de valor turística, formalización del setor, asisttencia técnica y capacitacón.</t>
  </si>
  <si>
    <t>COOP. ALEMANA</t>
  </si>
  <si>
    <t>Fomento del desarrollo de  comunidades y el mejoramiento al acceso a infraestructuras más económicas y más sociales así como su utilización sostenible</t>
  </si>
  <si>
    <t>FISDL</t>
  </si>
  <si>
    <t>Los fondos se utilizarán en el marco del programa estatal Comunidades Solidarias para medidas de infraestructura en 100 de las comunidades rurales y 25 de las comunidades urbanas más pobres de El Salvador</t>
  </si>
  <si>
    <t>100 municipios más pobres</t>
  </si>
  <si>
    <t>Préstamo para el desarrollo comunal FISDL IV</t>
  </si>
  <si>
    <t>Programa de crédito para el medio ambiente y energías  renovables (Iniciativa de Clima y de Medio Ambiente)</t>
  </si>
  <si>
    <t>GIZ GESTA</t>
  </si>
  <si>
    <t>Iniciativa de Clima y de Medio Ambiente (IKLU) del Gobierno Federal Alemán. En el marco del programa se otorgan créditos a largo plazo de manera eficiente y de acuerdo a las necesidades, para el refinanciamiento de inversiones para el medio ambiente, sobre todo a pequeñas y medianas empresas (pymes) así como para el refinanciamiento de pequeños proyectos de energías renovables en El Salvador</t>
  </si>
  <si>
    <t>CCOP. ALEMANA Y SICA</t>
  </si>
  <si>
    <t>Programa de formación profesional FONEDUCA</t>
  </si>
  <si>
    <t>A través de los  fondos de garantía de préstamos se pretende asegurar una parte del riesgo de impago de los préstamos para formación por las entidades financieras a jóvenes que provienen de familias con bajos ingresos para el financiamiento de los costos del estudio</t>
  </si>
  <si>
    <t>BANDESAL -  GIZ GESTA</t>
  </si>
  <si>
    <t>BANDESAL - FORTALECE - PROMUDE</t>
  </si>
  <si>
    <t>Manejo de desechos sólidos, protección al medio ambiente y
recursos naturales</t>
  </si>
  <si>
    <t>COOP. ALEMANA Y SICA</t>
  </si>
  <si>
    <t>Apoyo en la construcción de una planta solar con la CEL (capacidad de 6 MW)</t>
  </si>
  <si>
    <t>El proyecto prevé concederle al abastecedor estatal de energía eléctrica CEL, un préstamo de hasta 17 millones de euros para el financiamiento de una planta fotovoltáica de 6 MW</t>
  </si>
  <si>
    <t>CEL</t>
  </si>
  <si>
    <t>IKLU</t>
  </si>
  <si>
    <t>Usulutan</t>
  </si>
  <si>
    <t>El programa tiene como objetivo apoyar por primera vez en El Salvador a una planta fotovoltáica en  una magnitud significativa y brindar un aporte a la demanda de energía creciente a través del fomento de energías renovables.</t>
  </si>
  <si>
    <t>Reducción de Emisiones, Deforestación y Degradación Forestal (REDD)</t>
  </si>
  <si>
    <t>Programa Estratégico Regional Forestal“ coordinado por la Comisión Centroamericana de Ambiente y Desarrollo (CCAD)</t>
  </si>
  <si>
    <t>SICA -CCAD</t>
  </si>
  <si>
    <t>El objetivo del programa es apoyar a los países miembros de la CCAD para estar en condiciones de poner en práctica mecanismos de compensación sostenibles para la reducción de emisiones de CO2 , de la deforestación y degradación forestal</t>
  </si>
  <si>
    <t>Regional</t>
  </si>
  <si>
    <t>Fomento de Eficiencia Energética y Energía Renovable en Centroamérica (4E)</t>
  </si>
  <si>
    <t>SG - SICA</t>
  </si>
  <si>
    <t>Fondo regional abierto para el apoyo al empleo juvenil y económico en Centroamérica  (FACILIDAD)</t>
  </si>
  <si>
    <t>El objetivo del programa es apoyar a los países del istmo en los procesos del cambio estructural y  mejorar la competitividad de las pymes y las posibilidades de ocupación en sectores seleccionados de Centroamérica.</t>
  </si>
  <si>
    <t>Los grupos destinatarios del proyecto son propietarios y empleados de pymes con  potencial de crecimiento, potenciales fundadores de empresas así como personas que buscan empleo  con énfasis en los adolescentes y jóvenes adultos.</t>
  </si>
  <si>
    <t xml:space="preserve">COOP. ALEMANA </t>
  </si>
  <si>
    <t>GIZ - Varias instituciones</t>
  </si>
  <si>
    <t>Plataforma de cooperación Latinoamérica Norte (KOPLAN)</t>
  </si>
  <si>
    <t>SICA</t>
  </si>
  <si>
    <t xml:space="preserve">El objetivo del programa es apoyar la tecnología conveniente para el clima y el medio ambiente en México y Centroamérica. </t>
  </si>
  <si>
    <t>Preparativos</t>
  </si>
  <si>
    <t>En el marco del proyecto se asesorará y reforzará una plataforma de cooperación de instituciones del
sector privado (sobre todo la economía y las instituciones de apoyo a la importación y exportación)  para apoyar el acceso a tecnologías ambientales y establecer competencias sostenibles en la economía de los países de la región</t>
  </si>
  <si>
    <t>Protección del biocorredor mesoaméricano en Centroamérica</t>
  </si>
  <si>
    <t>Mejorar la realización de estrategias para la expansión de energías renovables y  medidas para la eficiencia energética.</t>
  </si>
  <si>
    <t xml:space="preserve">El programa trabaja con tres líneas de acción: 1) asesoría de la política energética 2) apoyo a instituciones y 3) cooperación con el sector privado. </t>
  </si>
  <si>
    <t>CCOP. ALEMANA</t>
  </si>
  <si>
    <t>Programa del Instituto Federal de Física y Metrología (PTB)</t>
  </si>
  <si>
    <t>Construcción de infraestructura de calidad armonizada a la región.</t>
  </si>
  <si>
    <t>Fomento del ordenamiento y desarrollo territorial en Centroamérica</t>
  </si>
  <si>
    <t>SICA/SISCA</t>
  </si>
  <si>
    <t>Busca un marco conceptual acordado a nivel regional, apoyar la cooperación transfronteriza  de los entes nacionales responsables del ordenamiento de instituciones nacionales</t>
  </si>
  <si>
    <t>Aportar estrategias mejoradas e instrumentos para un ordenamiento sostenible y un desarrollo
regional a nivel subnacional, nacional y regional.</t>
  </si>
  <si>
    <t>Desarrollo empresarial y apoyo a Pymes en Centroamérica</t>
  </si>
  <si>
    <t>Préstamos para PYMES innovadoras y emprendedores</t>
  </si>
  <si>
    <t>El Banco Centroamericano de Integración Económica (BCIE) pondrá a la disposición un préstamo de 40 millones de euros. El BCIE remitirá los fondos para créditos pymes a los grupos destinatarios a través de su red de instituciones financieras acreditadas. Como complemento al préstamo, la UE pondrá a la disposición una subvención de un monto de 3.8 millones de euros para medidas de apoyo. a) reforzarán institucionalmente los centros de fundación de empresas; b) se acompañará a los empresarios jóvenes/innovadores de estos centros de manera profesional en la fundación y la construcción de  estas empresas y c) se apoyará a insitituciones financieras en materia de transparencia, protección del consumidor, formación continua financiera de sus clientes así como desarrollo de producto.</t>
  </si>
  <si>
    <t>Programa de Desarrollo Turístico de La Franja Costero Marina (ES-L1066)</t>
  </si>
  <si>
    <t>BM</t>
  </si>
  <si>
    <t>Consolidación y Administración de Áreas Protegidas  P092202</t>
  </si>
  <si>
    <t xml:space="preserve">Mejorar la seguridad de la teneduria de tierra y las transacciones, a traves de proveer servicios seguros, y equitativos de la tierra, para facilitar las inversiones y el uso eficiente de la mism                              </t>
  </si>
  <si>
    <t xml:space="preserve">Usulutan, Jucuaran, Jiquilisco, Puerto el Triunfo, Jiqulisco, Tecoluca, </t>
  </si>
  <si>
    <t>MARN  - CNR</t>
  </si>
  <si>
    <t xml:space="preserve">1.  Fortalecer el NPAS para un manejo sostenible a largo plazo,  2. Desarrollar, probar y finalizar la metodologia para la consolidacion de dos proyectos pilotos en areas protegidas, incluyendo su deliminación, demarcación y regularizaciónñ  y desarrollar e implementarlos planes de manejo para su sostenibilidad.  </t>
  </si>
  <si>
    <t>Fortalecimiento de gobierno local   P118026</t>
  </si>
  <si>
    <t xml:space="preserve">Mejorar los procesos administrativos, financieros y tecnicos,de los sistemas de gobiernos locales para proveer servicios basicos      </t>
  </si>
  <si>
    <t>Subsecretaria para desarrollo Local y territorial</t>
  </si>
  <si>
    <t xml:space="preserve">Sectores: carreteras rurales e inter urbanas, administracion de gobierno sub nacional, proteccion del sector de agua, saneamiento e inundaciones, sector energia, administracion gubernamental central.  A la fecha 52.5M </t>
  </si>
  <si>
    <t xml:space="preserve">Nacional </t>
  </si>
  <si>
    <t>Fondos para comunidades solidarias, prevensión en cambio climático y políticas de reducción de pobreza.</t>
  </si>
  <si>
    <t>MITUR</t>
  </si>
  <si>
    <t>MINEC/ MINED</t>
  </si>
  <si>
    <t xml:space="preserve">Departamento: Ahuachapan, Municipios: Ahuachapán, Atiquizaya, Guaymango, Jujutla y SanFrancisco Menéndez, Departamento: Sonsonate, Municipios: Acajutla, Caluco e Izalco; Departamento: La Paz, Municipios: Zacatecoluca, San Luís La Herradura; Departamento: Usulután, Municipios: Usulután, Jiquilisco y Jucuarán. Departamento: La Unión, Municipios: La Unión y Meanguera del Golfo. </t>
  </si>
  <si>
    <t xml:space="preserve">Mejoramiento de la Producción y Extensión de la Tecnología de Acuicultura de Moluscos </t>
  </si>
  <si>
    <r>
      <rPr>
        <b/>
        <sz val="11"/>
        <color theme="1"/>
        <rFont val="Calibri"/>
        <family val="2"/>
        <scheme val="minor"/>
      </rPr>
      <t>Departamento:</t>
    </r>
    <r>
      <rPr>
        <sz val="11"/>
        <color theme="1"/>
        <rFont val="Calibri"/>
        <family val="2"/>
        <scheme val="minor"/>
      </rPr>
      <t xml:space="preserve"> La Unión, </t>
    </r>
    <r>
      <rPr>
        <b/>
        <sz val="11"/>
        <color theme="1"/>
        <rFont val="Calibri"/>
        <family val="2"/>
        <scheme val="minor"/>
      </rPr>
      <t>Municipios</t>
    </r>
    <r>
      <rPr>
        <sz val="11"/>
        <color theme="1"/>
        <rFont val="Calibri"/>
        <family val="2"/>
        <scheme val="minor"/>
      </rPr>
      <t xml:space="preserve">: La Unión  y   Meanguera del Golfo </t>
    </r>
  </si>
  <si>
    <t xml:space="preserve">BID   </t>
  </si>
  <si>
    <t>Plan de Agricultura Familiar y Emprendedurismo Rural para la Seguridad Alimentaria y Nutricional</t>
  </si>
  <si>
    <t>financiar parcialmente el programa “Plan de Agricultura Familiar y Emprendedurismo Rural para la Seguridad Alimentaria y Nutricional (PAF)</t>
  </si>
  <si>
    <t>Con las familias de agricultura familiar comercial, se espera optimizar la productividad agropecuaria mediante un incremento en la superficie sembrada e introducción de tecnología, mejorar el manejo post-cosecha y el manejo agronómico.</t>
  </si>
  <si>
    <t>Caja de Crédito de Zacatecoluca. IFNB</t>
  </si>
  <si>
    <t>PRIVADO</t>
  </si>
  <si>
    <t>Caja de Crédito de Usulután. IFNB</t>
  </si>
  <si>
    <t>enfocada a contribuir con el crecimiento de la colocación de recursos hacia el micro y pequeño empresario y las municipalidades, que de acuerdo con su orientación estratégica conforma su giro de negocio, así como apoyar con ello el desarrollo de este sector en el país.</t>
  </si>
  <si>
    <t>Ampliación de la Carretera al Puerto La Libertad Tramos II y III y construcción de los puentes Arce y Anguiatú en las fronteras entre El Salvador y Guatemala de La Hachadura y Anguiatú</t>
  </si>
  <si>
    <t>El objetivo general de los proyectos consiste en contribuir a la disminución de los costos y los tiempos de transporte en carreteras incluyendo los del acceso a la infraestructura logística, como el costo de acceso a los recursos marinos, a partir de la provisión de carreteras que complementarán y mejorarán la red existente en el Corredor Logístico y de Transporte de El Salvador, desde y hacia el mar y desde los centros de producción hacia los puertos, el Aeropuerto Internacional y los pasos fronterizos con Guatemala por las que circula la mayor cantidad de carga nacional y regional, que aumenten el valor de la producción pesquera y el de la actividad turística regional</t>
  </si>
  <si>
    <t>Programa de Desarrollo y Sostenimiento Aéreo y Marítimo Portuario</t>
  </si>
  <si>
    <t>optimizar la calidad de los servicios aeroportuarios y portuarios, asimismo rehabilitar y modernizar las instalaciones para garantizar los niveles de seguridad en las operaciones así como asegurar la categoría asignada a las instalaciones a nivel internacional.</t>
  </si>
  <si>
    <t>ES-L1085 : Mejoramiento Corredor Pacifico Mesoamerica</t>
  </si>
  <si>
    <t xml:space="preserve">El Proyecto Financiará El Mejoramiento De Las Condiciones Físicas Del Corredor Pacifico Mesoamericano. </t>
  </si>
  <si>
    <t>ES-L1075 : Programa de Corredores Productivos</t>
  </si>
  <si>
    <t>Componente I: Desarrollo Productivo Para La Competitividad De Mipymes Componente Ii: Inversiones Productivas Y Logísticas Para La Competitividadcomponente Iii: Sostenibilidad Ambiental De La Franja Costero-marítima Componente Iv: Fortalecimiento Institucionalcomponente Iii: Sostenibilidad Ambiental De La Franja Costero-marítima</t>
  </si>
  <si>
    <t>ES-T1179 : Modelo de Desarrollo Integral en el municipio de Concepción Batres</t>
  </si>
  <si>
    <t>Aprobado</t>
  </si>
  <si>
    <t>FUSADES</t>
  </si>
  <si>
    <t>Ejecución del Programa de Desarrollo y Sostenimiento Aéreo y Marítimo Portuario en la República de El Salvador. El proyecto comprende proyectos de infraestructura y equipamiento</t>
  </si>
  <si>
    <t>Proyectos de Ampliación de la Carretera al Puerto de La Libertad Tramos II y III y Construcción de los Puentes sobre los Ríos Anguiatú y Paz en las Fronteras de Anguiatú y La Hachadura entre El Salvador y Guatemala, que consiste en el diseño y construcción de 4 proyectos viales conformados por dos (2) puentes fronterizos y dos (2) tramos carreteros. Los puentes serán desarrollados en la zona occidental del país, en puntos fronterizos con Guatemala; y los tramos carreteros son parte de la ruta CA-4,carretera que conduce hacia el Puerto de La Libertad, desde la zona central del país</t>
  </si>
  <si>
    <t>1,2,3,4,5</t>
  </si>
  <si>
    <t>3,4</t>
  </si>
  <si>
    <t>2,4</t>
  </si>
  <si>
    <t>2,3,5</t>
  </si>
  <si>
    <t>1,3,4,5,</t>
  </si>
  <si>
    <t>4,5</t>
  </si>
  <si>
    <t>Financiar exclusivamente operaciones que se enmarquen dentro de cualquiera de los programas de crédito intermediado del BCIE,'</t>
  </si>
  <si>
    <t>Zacatecoluca</t>
  </si>
  <si>
    <t>La Libertad y Frontera con Guatemala</t>
  </si>
  <si>
    <t>1,2</t>
  </si>
  <si>
    <t>Comalapa</t>
  </si>
  <si>
    <t>Litoral salvadoreño</t>
  </si>
  <si>
    <t>Franja costero Marina</t>
  </si>
  <si>
    <t>Componente I: Desarrollo Productivo Para La Competitividad De Mipymes Componente II: Inversiones Productivas Y Logísticas Para La Competitividadcomponente Iii: Sostenibilidad Ambiental De La Franja Costero-marítima Componente Iv: Fortalecimiento Institucionalcomponente Iii: Sostenibilidad Ambiental De La Franja Costero-marítima</t>
  </si>
  <si>
    <t>Concepción Batres</t>
  </si>
  <si>
    <t>1,3,4</t>
  </si>
  <si>
    <t>1,3,4,5</t>
  </si>
  <si>
    <t>GOES y FAE</t>
  </si>
  <si>
    <t>Cooperación Japonesa</t>
  </si>
  <si>
    <t>Cooperación Italiana</t>
  </si>
  <si>
    <t>BID/AECID</t>
  </si>
  <si>
    <t>Banco Mundial</t>
  </si>
  <si>
    <t>Cooperación Alemana</t>
  </si>
  <si>
    <t>USA -OIT</t>
  </si>
  <si>
    <t>Mejora la productividad agricola en pequños agricultures en municipios de la zona occidental de El Salvador</t>
  </si>
  <si>
    <t>PNUD / GEF</t>
  </si>
  <si>
    <t>PNUMA / GEF</t>
  </si>
  <si>
    <t>Préstamo para el apoyo del Plan nacional integral para el manejo de desechos sólidos en El Salvador</t>
  </si>
  <si>
    <t>TAIWAN</t>
  </si>
  <si>
    <t>IKLU Alemania</t>
  </si>
  <si>
    <t>Naciones Unidas</t>
  </si>
  <si>
    <t>Taiwán</t>
  </si>
  <si>
    <t>Unión Europea</t>
  </si>
  <si>
    <t xml:space="preserve">Sistema Nacional de Calidad </t>
  </si>
  <si>
    <t>2017</t>
  </si>
  <si>
    <t>Componente 2.  Inversión en Innovación. Montos disponibles para la FCM $18MM de $30MM totales</t>
  </si>
  <si>
    <t>Conceptualización</t>
  </si>
  <si>
    <t>Gestión</t>
  </si>
  <si>
    <t>Construir obras de infraeestructura orientadas principalmente al beneficio social a travez de la cosntruccion de proyectos viales que brinden conectividad a xonas rurales y obras de proteccion en sectores susceptbiles a deslizamientos.</t>
  </si>
  <si>
    <t>Row Labels</t>
  </si>
  <si>
    <t>(blank)</t>
  </si>
  <si>
    <t>Grand Total</t>
  </si>
  <si>
    <t>Montos aprobados</t>
  </si>
  <si>
    <t>MONTO APROBADO ($)</t>
  </si>
  <si>
    <t>MONTO EN GESTION  ($)</t>
  </si>
  <si>
    <t>MONTO SIN FINANC. ($)</t>
  </si>
  <si>
    <t>1 Fomento Productivo</t>
  </si>
  <si>
    <t>2 Institucionalidad</t>
  </si>
  <si>
    <t>3 Medio Ambiente</t>
  </si>
  <si>
    <t>4 Infraestructura</t>
  </si>
  <si>
    <t>5 Innovación</t>
  </si>
  <si>
    <t>6 Capacidades</t>
  </si>
  <si>
    <t xml:space="preserve">4 Infraestructura </t>
  </si>
  <si>
    <t xml:space="preserve">5 Innovación </t>
  </si>
  <si>
    <t>Montos en Gestión</t>
  </si>
  <si>
    <t>Varios</t>
  </si>
  <si>
    <t>EJES</t>
  </si>
  <si>
    <t>TOTAL</t>
  </si>
  <si>
    <t>Unión de Cooperantes</t>
  </si>
  <si>
    <t>Fomento Productivo</t>
  </si>
  <si>
    <t>Medio Ambiente</t>
  </si>
  <si>
    <t>Infraestructura</t>
  </si>
  <si>
    <t>Innovación</t>
  </si>
  <si>
    <t>Formación de Capacidades</t>
  </si>
  <si>
    <t xml:space="preserve">Institucionalidad </t>
  </si>
  <si>
    <t xml:space="preserve">EJES </t>
  </si>
  <si>
    <t>Total</t>
  </si>
  <si>
    <t>Montos Actuales - En Gestión y Proyectos sin Financiamiento</t>
  </si>
  <si>
    <t>%</t>
  </si>
  <si>
    <t>Montos destinados al Desarrollo Productivo dentro de la Franja Costero Marina agrupados por cada eje de acción</t>
  </si>
  <si>
    <t>Montos destinados al Desarrollo Productivo dentro de la Franja Costero Marina agrupados fuente de Cooperación Internacional</t>
  </si>
  <si>
    <t xml:space="preserve">Montos actuales y montos en gestión </t>
  </si>
  <si>
    <t>Agrupacón por eje de acción</t>
  </si>
  <si>
    <r>
      <t>DISTRIBUCION % DE MONTOS GESTINADOS PARA EL DESARROLLO PRODUCTIVO DE LA  FRANJA COSTERO MARINA</t>
    </r>
    <r>
      <rPr>
        <b/>
        <sz val="12"/>
        <color theme="1"/>
        <rFont val="Calibri"/>
        <family val="2"/>
        <scheme val="minor"/>
      </rPr>
      <t xml:space="preserve"> </t>
    </r>
    <r>
      <rPr>
        <b/>
        <sz val="14"/>
        <color theme="1"/>
        <rFont val="Calibri"/>
        <family val="2"/>
        <scheme val="minor"/>
      </rPr>
      <t>POR LA COOPERACIÓN INTERNACIONAL</t>
    </r>
  </si>
  <si>
    <r>
      <t>DISTRIBUCION % DE MONTOS ACTUALES PARA EL DESARROLLO PRODUCTIVO DE LA  FRANJA COSTERO MARINA</t>
    </r>
    <r>
      <rPr>
        <b/>
        <sz val="12"/>
        <color theme="1"/>
        <rFont val="Calibri"/>
        <family val="2"/>
        <scheme val="minor"/>
      </rPr>
      <t xml:space="preserve"> </t>
    </r>
    <r>
      <rPr>
        <b/>
        <sz val="14"/>
        <color theme="1"/>
        <rFont val="Calibri"/>
        <family val="2"/>
        <scheme val="minor"/>
      </rPr>
      <t>POR LA COOPERACIÓN INTERNACIONAL</t>
    </r>
  </si>
  <si>
    <t>Observaciones</t>
  </si>
  <si>
    <t xml:space="preserve">Identificación de proyectos necesarios para el Desarrollo Productivo del territorio por $26.59MM (en búsqueda de financiamiento) </t>
  </si>
  <si>
    <t xml:space="preserve">Fuerte componente de Infraestructura para el Desarrollo Productivo </t>
  </si>
  <si>
    <t xml:space="preserve">Visión de Desarrollo Productivo que va de la mano con el Medio Ambiente. El 23% de las inversiones van destinadas a este eje. </t>
  </si>
  <si>
    <t xml:space="preserve">Marcado fortalecimiento de Cadenas Productivas y su especialización </t>
  </si>
  <si>
    <t>Los principales organismos de facilitación de fondos para el Desarrollo Productivo de la FCM son el BCIE y BID con un 22% y 21% respectivamente</t>
  </si>
  <si>
    <t>El eje de fomento productivo alcanza un 37% de los montos actuales de la cooperación, indicando que existen vacíos y necesidades que deben fortalecerse en este eje.</t>
  </si>
  <si>
    <t>La mayoría de Cooperantes tienen interés de conformar una mesa de Cooperantes de manera coordinada para el desarrollo de la FCM, pero el proceso de gestión de nuevos fondos esta limitado por las elecciones en 2014</t>
  </si>
  <si>
    <t>Infraestructura, Medio Ambiente y Fomento productivo son los ejes con Montos Actuales mayores</t>
  </si>
  <si>
    <t xml:space="preserve">El BID presenta la única gestión de inversión con componentes de Innovación </t>
  </si>
  <si>
    <t>Las inversiones totales estimadas para el Desarrollo Productivo de la FCM rondan los $1,424 MM</t>
  </si>
  <si>
    <t xml:space="preserve">Montos en Gestión para el  Desarrollo Productivo de la FCM gracias a una visión de  enfoque territorial por  $834.97 MM  </t>
  </si>
  <si>
    <t>Un crecimiento del 48% de fondos destinados a la FCM gracias a la visión de enfoque territorial, equivalentes a $272 MM</t>
  </si>
  <si>
    <t>Primera propuesta de desarrollo territorial que lleva un componente de $15MM destinados para la Innovación sobre la costa y el mar</t>
  </si>
  <si>
    <t xml:space="preserve">Primera propuesta de desarrollo territorial que lleva un componente de $30MM destinados al sector Turismo </t>
  </si>
  <si>
    <t xml:space="preserve">Fomilenio II es el componente de mayor cooperación con enfoque territorial que asciende a $173 MM, destinados principalmente a infraestructura en carreteras, educación y un fondo de $70MM para Asocios Público Privado. Esto equivale un 13% de toda la inversión productiva en el territorio </t>
  </si>
  <si>
    <t>El Programa de Restauración de Ecosistemas y Paisajes PREP es el más ambicioso proyecto de conservación del medio ambiente y la utilización de prácticas productivas eco amigables. Representa una inversión de $180MM con la unión de varios cooperantes con cobertura nacional y énfasis en la FCM.</t>
  </si>
  <si>
    <t>La Unión de cooperantes se refiere a Cooperación Alemana, USAID, BID, BCIE, GEF PNUD, Banco Mundial  y están destinados al fortalecimiento del Programa de restauración de Ecosistemas y Paisajes PREP  ejecutado por el MARN</t>
  </si>
  <si>
    <t>Es importante mencionar que la gran mayoría de cooperantes no tienen montos en gestión ya que sus planes de trabajo iniciarán con el año 2014 (año electoral)</t>
  </si>
  <si>
    <t xml:space="preserve">El Banco Mundial no presenta fondos en Gestión, siendo uno de los principales gestores de fondos actuales </t>
  </si>
  <si>
    <t xml:space="preserve">Unión Europea gestionó la donación de aprox. $48MM para el fortalecimiento del Sistema Nacional de Calidad, el cual debiera continuar con fondos GOES, por lo que no presenta fondos en gestión actuales. </t>
  </si>
  <si>
    <t xml:space="preserve"> Naciones Unidas falta validar los nuevos fondos en gestión</t>
  </si>
  <si>
    <t>IKLU Alemania hace referencia al proyecto de generación de energía eléctrica fotovoltaica en terrenos de CEL cercanas a la Central Hidroeléctrica 15 de Septiembre</t>
  </si>
  <si>
    <t>El Mayor porcentaje de montos están destinados a el eje de infraestructura, seguido por gestión de medio ambiente</t>
  </si>
  <si>
    <t>El eje de formación de capacidades refleja el porcentaje más bajo dentro de los ejes.  Sin embargo, es importante mencionar que muchas veces es un eje transversal en las acciones de la cooperación.</t>
  </si>
  <si>
    <t xml:space="preserve">Para Unión Europea hace referencia a la donación para el fortalecimiento del Sistema Nacional de Calidad por $48MM </t>
  </si>
  <si>
    <t xml:space="preserve">A pesar que el cuadro muestra cooperantes que destinan sus fondos casi en su totalidad al fomento productivo como Cooperación Japonesa, Koica, Swiss Contact, y Unión Europea. No implica que sea su único destino de cooperación. Para efecto de la elaboración de la matriz en Desarrollo Productivo se descartaron muchos proyectos de la cooperación en otras áreas de intervención y en otras zonas geográficas.  </t>
  </si>
  <si>
    <t>Cooperación Alemana presenta  mayor cobertura en todos los ejes, a diferencia de otros cooperantes que se enfocan en 1 o 2 ejes. Esto debido a la visión,   metas, experiencia  e indicadores propios de cada institución</t>
  </si>
  <si>
    <t xml:space="preserve">El eje de infraestructura alcanza casi el 50% de los montos gestionados para el Desarrollo Productivo de la FMC, debido a los fuertes montos de Fomilenio II, BID y BCIE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</si>
</sst>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8" formatCode="&quot;$&quot;#,##0.00_);[Red]\(&quot;$&quot;#,##0.00\)"/>
    <numFmt numFmtId="44" formatCode="_(&quot;$&quot;* #,##0.00_);_(&quot;$&quot;* \(#,##0.00\);_(&quot;$&quot;* &quot;-&quot;??_);_(@_)"/>
    <numFmt numFmtId="164" formatCode="_([$$-440A]* #,##0.00_);_([$$-440A]* \(#,##0.00\);_([$$-440A]* &quot;-&quot;??_);_(@_)"/>
    <numFmt numFmtId="165" formatCode="_-&quot;$&quot;* #,##0.00_-;\-&quot;$&quot;* #,##0.00_-;_-&quot;$&quot;* &quot;-&quot;??_-;_-@_-"/>
  </numFmts>
  <fonts count="27" x14ac:knownFonts="1">
    <font>
      <sz val="11"/>
      <color theme="1"/>
      <name val="Calibri"/>
      <family val="2"/>
      <scheme val="minor"/>
    </font>
    <font>
      <sz val="9"/>
      <color theme="1"/>
      <name val="Calibri"/>
      <family val="2"/>
      <scheme val="minor"/>
    </font>
    <font>
      <b/>
      <sz val="9"/>
      <color theme="1"/>
      <name val="Calibri"/>
      <family val="2"/>
      <scheme val="minor"/>
    </font>
    <font>
      <sz val="11"/>
      <color theme="1"/>
      <name val="Calibri"/>
      <family val="2"/>
      <scheme val="minor"/>
    </font>
    <font>
      <b/>
      <sz val="9"/>
      <color theme="1"/>
      <name val="Arial Narrow"/>
      <family val="2"/>
    </font>
    <font>
      <b/>
      <sz val="11"/>
      <color theme="1"/>
      <name val="Calibri"/>
      <family val="2"/>
      <scheme val="minor"/>
    </font>
    <font>
      <sz val="9"/>
      <color theme="1"/>
      <name val="Calibri"/>
      <family val="2"/>
    </font>
    <font>
      <sz val="12"/>
      <color theme="1"/>
      <name val="Calibri"/>
      <family val="2"/>
      <scheme val="minor"/>
    </font>
    <font>
      <sz val="11"/>
      <color rgb="FFFF0000"/>
      <name val="Calibri"/>
      <family val="2"/>
      <scheme val="minor"/>
    </font>
    <font>
      <sz val="11"/>
      <color theme="1"/>
      <name val="Calibri"/>
      <family val="2"/>
    </font>
    <font>
      <sz val="11"/>
      <name val="Calibri"/>
      <family val="2"/>
    </font>
    <font>
      <b/>
      <sz val="11"/>
      <color theme="1"/>
      <name val="Calibri"/>
      <family val="2"/>
    </font>
    <font>
      <sz val="11"/>
      <color theme="0"/>
      <name val="Calibri"/>
      <family val="2"/>
      <scheme val="minor"/>
    </font>
    <font>
      <sz val="11"/>
      <name val="Calibri"/>
      <family val="2"/>
      <scheme val="minor"/>
    </font>
    <font>
      <i/>
      <sz val="11"/>
      <color theme="1"/>
      <name val="Calibri"/>
      <family val="2"/>
      <scheme val="minor"/>
    </font>
    <font>
      <i/>
      <sz val="9"/>
      <color theme="1"/>
      <name val="Calibri"/>
      <family val="2"/>
      <scheme val="minor"/>
    </font>
    <font>
      <i/>
      <sz val="10"/>
      <color theme="1"/>
      <name val="Calibri"/>
      <family val="2"/>
      <scheme val="minor"/>
    </font>
    <font>
      <i/>
      <sz val="11"/>
      <color theme="0"/>
      <name val="Calibri"/>
      <family val="2"/>
      <scheme val="minor"/>
    </font>
    <font>
      <b/>
      <sz val="12"/>
      <color theme="1"/>
      <name val="Calibri"/>
      <family val="2"/>
      <scheme val="minor"/>
    </font>
    <font>
      <b/>
      <sz val="14"/>
      <color theme="1"/>
      <name val="Calibri"/>
      <family val="2"/>
      <scheme val="minor"/>
    </font>
    <font>
      <b/>
      <i/>
      <sz val="11"/>
      <color theme="1"/>
      <name val="Calibri"/>
      <family val="2"/>
      <scheme val="minor"/>
    </font>
    <font>
      <i/>
      <sz val="12"/>
      <color rgb="FF000000"/>
      <name val="Calibri"/>
      <family val="2"/>
      <scheme val="minor"/>
    </font>
    <font>
      <i/>
      <sz val="12"/>
      <color theme="1"/>
      <name val="Calibri"/>
      <family val="2"/>
      <scheme val="minor"/>
    </font>
    <font>
      <b/>
      <sz val="18"/>
      <color theme="1"/>
      <name val="Calibri"/>
      <family val="2"/>
      <scheme val="minor"/>
    </font>
    <font>
      <sz val="14"/>
      <color theme="1"/>
      <name val="Calibri"/>
      <family val="2"/>
      <scheme val="minor"/>
    </font>
    <font>
      <b/>
      <sz val="20"/>
      <color theme="1"/>
      <name val="Calibri"/>
      <family val="2"/>
      <scheme val="minor"/>
    </font>
    <font>
      <sz val="10"/>
      <color rgb="FF000000"/>
      <name val="Tw Cen MT"/>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245">
    <xf numFmtId="0" fontId="0" fillId="0" borderId="0" xfId="0"/>
    <xf numFmtId="0" fontId="1" fillId="0"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wrapText="1"/>
    </xf>
    <xf numFmtId="44" fontId="0" fillId="0" borderId="0" xfId="1" applyFont="1" applyAlignment="1">
      <alignment horizontal="center" vertical="center" wrapText="1"/>
    </xf>
    <xf numFmtId="0" fontId="0" fillId="0" borderId="1" xfId="0" applyBorder="1" applyAlignment="1">
      <alignment wrapText="1"/>
    </xf>
    <xf numFmtId="44" fontId="0" fillId="0" borderId="1" xfId="1" applyFont="1" applyBorder="1" applyAlignment="1">
      <alignment horizontal="center" vertical="center" wrapText="1"/>
    </xf>
    <xf numFmtId="0" fontId="4" fillId="0" borderId="0" xfId="0" applyFont="1" applyFill="1" applyAlignment="1">
      <alignment wrapText="1"/>
    </xf>
    <xf numFmtId="0" fontId="4" fillId="2" borderId="1" xfId="0" applyFont="1" applyFill="1" applyBorder="1" applyAlignment="1">
      <alignment horizontal="center" vertical="center" wrapText="1"/>
    </xf>
    <xf numFmtId="44" fontId="4" fillId="2" borderId="1" xfId="1" applyFont="1" applyFill="1" applyBorder="1" applyAlignment="1">
      <alignment horizontal="center" vertical="center" wrapText="1"/>
    </xf>
    <xf numFmtId="0" fontId="4" fillId="2" borderId="3"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vertical="center" wrapText="1"/>
    </xf>
    <xf numFmtId="0" fontId="4" fillId="2" borderId="1" xfId="0" applyFont="1" applyFill="1" applyBorder="1" applyAlignment="1">
      <alignment horizontal="center" wrapText="1"/>
    </xf>
    <xf numFmtId="49" fontId="4" fillId="2" borderId="1" xfId="0" applyNumberFormat="1" applyFont="1" applyFill="1" applyBorder="1" applyAlignment="1">
      <alignment horizontal="center" vertical="center" wrapText="1"/>
    </xf>
    <xf numFmtId="49" fontId="0" fillId="0" borderId="1" xfId="0" applyNumberFormat="1" applyBorder="1" applyAlignment="1">
      <alignment horizontal="center" vertical="center" wrapText="1"/>
    </xf>
    <xf numFmtId="49" fontId="0" fillId="0" borderId="0" xfId="0" applyNumberFormat="1" applyAlignment="1">
      <alignment horizontal="center" vertical="center" wrapText="1"/>
    </xf>
    <xf numFmtId="0" fontId="0" fillId="0" borderId="0" xfId="0" applyBorder="1" applyAlignment="1">
      <alignment horizontal="center" wrapText="1"/>
    </xf>
    <xf numFmtId="0" fontId="0" fillId="0" borderId="0" xfId="0" applyBorder="1" applyAlignment="1">
      <alignment horizontal="center" vertical="center" wrapText="1"/>
    </xf>
    <xf numFmtId="44" fontId="0" fillId="0" borderId="0" xfId="1" applyFont="1" applyBorder="1" applyAlignment="1">
      <alignment horizontal="center" vertical="center" wrapText="1"/>
    </xf>
    <xf numFmtId="0" fontId="0" fillId="0" borderId="0" xfId="0" applyBorder="1" applyAlignment="1">
      <alignment wrapText="1"/>
    </xf>
    <xf numFmtId="49" fontId="0" fillId="0" borderId="0" xfId="0" applyNumberFormat="1" applyBorder="1" applyAlignment="1">
      <alignment horizontal="center" vertical="center" wrapText="1"/>
    </xf>
    <xf numFmtId="164" fontId="0" fillId="0" borderId="1" xfId="1" applyNumberFormat="1" applyFont="1" applyBorder="1" applyAlignment="1">
      <alignment horizontal="center" vertical="center" wrapText="1"/>
    </xf>
    <xf numFmtId="44" fontId="0" fillId="0" borderId="1" xfId="1" applyFont="1" applyBorder="1" applyAlignment="1">
      <alignment wrapText="1"/>
    </xf>
    <xf numFmtId="0" fontId="0" fillId="0" borderId="1" xfId="0" applyBorder="1"/>
    <xf numFmtId="0" fontId="0" fillId="0" borderId="1" xfId="0" applyFont="1" applyBorder="1" applyAlignment="1">
      <alignment horizontal="center" vertical="center" wrapText="1"/>
    </xf>
    <xf numFmtId="0" fontId="0" fillId="0" borderId="1" xfId="0" applyFont="1" applyBorder="1" applyAlignment="1">
      <alignment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165" fontId="6"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horizontal="left" vertical="center" wrapText="1"/>
    </xf>
    <xf numFmtId="0" fontId="0" fillId="0" borderId="1" xfId="0" applyBorder="1" applyAlignment="1">
      <alignment horizontal="center" vertical="center"/>
    </xf>
    <xf numFmtId="0" fontId="4" fillId="2" borderId="4" xfId="0" applyFont="1" applyFill="1" applyBorder="1" applyAlignment="1">
      <alignment horizontal="center" vertical="center" wrapText="1"/>
    </xf>
    <xf numFmtId="44" fontId="0" fillId="0" borderId="1" xfId="1" applyFont="1" applyBorder="1" applyAlignment="1">
      <alignment horizontal="center" wrapText="1"/>
    </xf>
    <xf numFmtId="0" fontId="4" fillId="2" borderId="4" xfId="0" applyFont="1" applyFill="1" applyBorder="1" applyAlignment="1">
      <alignment vertical="center" wrapText="1"/>
    </xf>
    <xf numFmtId="0" fontId="4" fillId="2" borderId="0" xfId="0" applyFont="1" applyFill="1" applyAlignment="1">
      <alignment wrapText="1"/>
    </xf>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1" xfId="0" applyFill="1" applyBorder="1" applyAlignment="1">
      <alignment horizontal="center" vertical="center" wrapText="1"/>
    </xf>
    <xf numFmtId="44" fontId="0" fillId="0" borderId="4" xfId="1" applyFont="1" applyBorder="1" applyAlignment="1">
      <alignment horizontal="center" vertical="center" wrapText="1"/>
    </xf>
    <xf numFmtId="0" fontId="4" fillId="2" borderId="0" xfId="0" applyFont="1" applyFill="1" applyAlignment="1">
      <alignment horizontal="center" vertical="center" wrapText="1"/>
    </xf>
    <xf numFmtId="0" fontId="0" fillId="0" borderId="1" xfId="0" applyNumberFormat="1" applyFont="1" applyBorder="1" applyAlignment="1">
      <alignment horizontal="center" vertical="center" wrapText="1"/>
    </xf>
    <xf numFmtId="0" fontId="1" fillId="0" borderId="4" xfId="0" applyFont="1" applyFill="1" applyBorder="1" applyAlignment="1">
      <alignment horizontal="center" vertical="center" wrapText="1"/>
    </xf>
    <xf numFmtId="0" fontId="2" fillId="2" borderId="4" xfId="0" applyFont="1" applyFill="1" applyBorder="1" applyAlignment="1">
      <alignment horizontal="center" wrapText="1"/>
    </xf>
    <xf numFmtId="0" fontId="0" fillId="4" borderId="5" xfId="0" applyFill="1" applyBorder="1"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44" fontId="0" fillId="4" borderId="1" xfId="1" applyFont="1" applyFill="1" applyBorder="1" applyAlignment="1">
      <alignment horizontal="center" vertical="center" wrapText="1"/>
    </xf>
    <xf numFmtId="49" fontId="0" fillId="4" borderId="1" xfId="0" applyNumberFormat="1" applyFill="1" applyBorder="1" applyAlignment="1">
      <alignment horizontal="center" vertical="center" wrapText="1"/>
    </xf>
    <xf numFmtId="0" fontId="0" fillId="4" borderId="0" xfId="0" applyFill="1" applyAlignment="1">
      <alignment wrapText="1"/>
    </xf>
    <xf numFmtId="0" fontId="0" fillId="0" borderId="1" xfId="0" applyFont="1" applyFill="1" applyBorder="1" applyAlignment="1">
      <alignment horizontal="center" vertical="center" wrapText="1"/>
    </xf>
    <xf numFmtId="0" fontId="1" fillId="0" borderId="4" xfId="0" applyFont="1" applyFill="1" applyBorder="1" applyAlignment="1">
      <alignment horizontal="center" vertical="center"/>
    </xf>
    <xf numFmtId="0" fontId="0" fillId="0" borderId="1" xfId="0" applyFont="1" applyFill="1" applyBorder="1" applyAlignment="1">
      <alignment vertical="center" wrapText="1"/>
    </xf>
    <xf numFmtId="0" fontId="0" fillId="0" borderId="1" xfId="0" applyFont="1" applyFill="1" applyBorder="1" applyAlignment="1">
      <alignment wrapText="1"/>
    </xf>
    <xf numFmtId="0" fontId="0" fillId="4" borderId="1"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8" fillId="4" borderId="1" xfId="0" applyFont="1" applyFill="1" applyBorder="1" applyAlignment="1">
      <alignment horizontal="center" wrapText="1"/>
    </xf>
    <xf numFmtId="0" fontId="0" fillId="4" borderId="4" xfId="0" applyFill="1" applyBorder="1" applyAlignment="1">
      <alignment horizontal="center" vertical="center" wrapText="1"/>
    </xf>
    <xf numFmtId="164" fontId="0" fillId="4" borderId="1" xfId="1" applyNumberFormat="1" applyFont="1" applyFill="1" applyBorder="1" applyAlignment="1">
      <alignment horizontal="center" vertical="center" wrapText="1"/>
    </xf>
    <xf numFmtId="44" fontId="0" fillId="4" borderId="1" xfId="1" applyFont="1" applyFill="1" applyBorder="1" applyAlignment="1">
      <alignment wrapText="1"/>
    </xf>
    <xf numFmtId="0" fontId="5"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0" fillId="4" borderId="0" xfId="0" applyFill="1" applyBorder="1" applyAlignment="1">
      <alignment wrapText="1"/>
    </xf>
    <xf numFmtId="0" fontId="0" fillId="4" borderId="0" xfId="0" applyFill="1" applyBorder="1" applyAlignment="1">
      <alignment horizontal="center" vertical="center" wrapText="1"/>
    </xf>
    <xf numFmtId="0" fontId="0" fillId="4" borderId="0" xfId="0" applyFill="1" applyAlignment="1">
      <alignment horizontal="center" vertical="center" wrapText="1"/>
    </xf>
    <xf numFmtId="49" fontId="0" fillId="0" borderId="1" xfId="0" applyNumberFormat="1" applyFont="1" applyBorder="1" applyAlignment="1">
      <alignment horizontal="center" vertical="center" wrapText="1"/>
    </xf>
    <xf numFmtId="44" fontId="0" fillId="0" borderId="1" xfId="0" applyNumberFormat="1" applyFont="1" applyBorder="1" applyAlignment="1">
      <alignment horizontal="center" vertical="center" wrapText="1"/>
    </xf>
    <xf numFmtId="0" fontId="0" fillId="0" borderId="1" xfId="0" applyFont="1" applyBorder="1" applyAlignment="1">
      <alignment horizontal="justify" vertical="center" wrapText="1"/>
    </xf>
    <xf numFmtId="8" fontId="0" fillId="0" borderId="1" xfId="0" applyNumberFormat="1" applyFont="1" applyBorder="1" applyAlignment="1">
      <alignment horizontal="center" vertical="center" wrapText="1"/>
    </xf>
    <xf numFmtId="8" fontId="0" fillId="0" borderId="1" xfId="1" applyNumberFormat="1" applyFont="1" applyBorder="1" applyAlignment="1">
      <alignment horizontal="center" vertical="center" wrapText="1"/>
    </xf>
    <xf numFmtId="0" fontId="0" fillId="0" borderId="1" xfId="0" applyFont="1" applyBorder="1" applyAlignment="1">
      <alignment horizontal="center" wrapText="1"/>
    </xf>
    <xf numFmtId="0" fontId="0" fillId="0" borderId="1" xfId="0" applyFont="1" applyBorder="1" applyAlignment="1">
      <alignment horizontal="left" vertical="center" wrapText="1"/>
    </xf>
    <xf numFmtId="0" fontId="0" fillId="0" borderId="1" xfId="0" applyFont="1" applyBorder="1" applyAlignment="1">
      <alignment vertical="center" wrapText="1"/>
    </xf>
    <xf numFmtId="0" fontId="0" fillId="4" borderId="1" xfId="0" applyFont="1" applyFill="1" applyBorder="1" applyAlignment="1">
      <alignment wrapText="1"/>
    </xf>
    <xf numFmtId="49" fontId="0" fillId="4" borderId="1" xfId="0" applyNumberFormat="1" applyFont="1" applyFill="1" applyBorder="1" applyAlignment="1">
      <alignment horizontal="center" vertical="center" wrapText="1"/>
    </xf>
    <xf numFmtId="0" fontId="0" fillId="4" borderId="1" xfId="0" applyFont="1" applyFill="1" applyBorder="1" applyAlignment="1">
      <alignment vertical="center" wrapText="1"/>
    </xf>
    <xf numFmtId="0" fontId="0" fillId="4" borderId="1" xfId="0" applyFont="1" applyFill="1" applyBorder="1" applyAlignment="1">
      <alignment horizontal="justify" vertical="justify" wrapText="1"/>
    </xf>
    <xf numFmtId="164" fontId="0" fillId="4" borderId="1" xfId="0" applyNumberFormat="1" applyFont="1" applyFill="1" applyBorder="1" applyAlignment="1">
      <alignment vertical="center" wrapText="1"/>
    </xf>
    <xf numFmtId="0" fontId="0" fillId="3" borderId="1" xfId="0" applyFont="1" applyFill="1" applyBorder="1" applyAlignment="1">
      <alignment horizontal="center" vertical="center" wrapText="1"/>
    </xf>
    <xf numFmtId="164" fontId="0" fillId="0" borderId="1" xfId="0" applyNumberFormat="1" applyFont="1" applyBorder="1" applyAlignment="1">
      <alignment vertical="center" wrapText="1"/>
    </xf>
    <xf numFmtId="0" fontId="0" fillId="0" borderId="1" xfId="0" applyFont="1" applyBorder="1" applyAlignment="1">
      <alignment horizontal="justify" vertical="justify"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0" fontId="9" fillId="0" borderId="1" xfId="0" applyFont="1" applyFill="1" applyBorder="1" applyAlignment="1">
      <alignment horizontal="justify" vertical="center" wrapText="1"/>
    </xf>
    <xf numFmtId="6" fontId="9" fillId="0" borderId="1" xfId="0" applyNumberFormat="1" applyFont="1" applyFill="1" applyBorder="1" applyAlignment="1">
      <alignment horizontal="center" vertical="center" wrapText="1"/>
    </xf>
    <xf numFmtId="4" fontId="9" fillId="0" borderId="1" xfId="0" applyNumberFormat="1"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left" vertical="center" wrapText="1"/>
    </xf>
    <xf numFmtId="0" fontId="9" fillId="0" borderId="1" xfId="0" applyFont="1" applyFill="1" applyBorder="1" applyAlignment="1">
      <alignment horizontal="left" vertical="top" wrapText="1"/>
    </xf>
    <xf numFmtId="0" fontId="0" fillId="0" borderId="1" xfId="0" applyFont="1" applyFill="1" applyBorder="1"/>
    <xf numFmtId="0" fontId="9" fillId="0" borderId="1" xfId="0" applyFont="1" applyFill="1" applyBorder="1" applyAlignment="1">
      <alignment horizontal="center" vertical="top" wrapText="1"/>
    </xf>
    <xf numFmtId="165" fontId="10" fillId="0" borderId="1" xfId="1" applyNumberFormat="1"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4" fontId="9" fillId="0" borderId="1" xfId="0" applyNumberFormat="1" applyFont="1" applyFill="1" applyBorder="1" applyAlignment="1">
      <alignment horizontal="center" wrapText="1"/>
    </xf>
    <xf numFmtId="165" fontId="9" fillId="0" borderId="1" xfId="1" applyNumberFormat="1" applyFont="1" applyFill="1" applyBorder="1" applyAlignment="1">
      <alignment horizontal="center" vertical="center" wrapText="1"/>
    </xf>
    <xf numFmtId="0" fontId="9" fillId="0" borderId="1" xfId="0" applyFont="1" applyFill="1" applyBorder="1" applyAlignment="1">
      <alignment horizontal="center" wrapText="1"/>
    </xf>
    <xf numFmtId="0" fontId="11" fillId="0" borderId="1" xfId="0" applyFont="1" applyFill="1" applyBorder="1" applyAlignment="1">
      <alignment horizontal="center" wrapText="1"/>
    </xf>
    <xf numFmtId="0" fontId="9" fillId="0" borderId="4" xfId="0" applyFont="1" applyFill="1" applyBorder="1" applyAlignment="1">
      <alignment horizontal="center" vertical="center" wrapText="1"/>
    </xf>
    <xf numFmtId="0" fontId="0" fillId="0" borderId="4" xfId="0" applyFont="1" applyBorder="1" applyAlignment="1">
      <alignment horizontal="center" vertical="center" wrapText="1"/>
    </xf>
    <xf numFmtId="0" fontId="0" fillId="0" borderId="4" xfId="0" applyFont="1" applyBorder="1" applyAlignment="1">
      <alignment wrapText="1"/>
    </xf>
    <xf numFmtId="0" fontId="0" fillId="0" borderId="4" xfId="0" applyFont="1" applyBorder="1" applyAlignment="1">
      <alignment horizontal="center" wrapText="1"/>
    </xf>
    <xf numFmtId="0" fontId="0" fillId="0" borderId="4" xfId="0" applyFont="1" applyFill="1" applyBorder="1" applyAlignment="1">
      <alignment horizontal="center" vertical="center" wrapText="1"/>
    </xf>
    <xf numFmtId="165" fontId="9" fillId="0" borderId="4" xfId="1"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4" fontId="0" fillId="0" borderId="1" xfId="1" applyFont="1" applyFill="1" applyBorder="1" applyAlignment="1">
      <alignment horizontal="center" vertical="center" wrapText="1"/>
    </xf>
    <xf numFmtId="6" fontId="8" fillId="0" borderId="1" xfId="0" applyNumberFormat="1" applyFont="1" applyFill="1" applyBorder="1" applyAlignment="1">
      <alignment horizontal="center" vertical="center" wrapText="1"/>
    </xf>
    <xf numFmtId="44" fontId="0" fillId="0" borderId="0" xfId="1" applyFont="1" applyBorder="1" applyAlignment="1">
      <alignment wrapText="1"/>
    </xf>
    <xf numFmtId="44" fontId="8" fillId="4" borderId="1" xfId="1" applyFont="1" applyFill="1" applyBorder="1" applyAlignment="1">
      <alignment horizontal="center" vertical="center" wrapText="1"/>
    </xf>
    <xf numFmtId="44" fontId="8" fillId="4" borderId="1" xfId="0" applyNumberFormat="1" applyFont="1" applyFill="1" applyBorder="1" applyAlignment="1">
      <alignment horizontal="center" vertical="center" wrapText="1"/>
    </xf>
    <xf numFmtId="0" fontId="0" fillId="0" borderId="0" xfId="0" applyAlignment="1"/>
    <xf numFmtId="0" fontId="6" fillId="0" borderId="1" xfId="0" applyFont="1" applyFill="1" applyBorder="1" applyAlignment="1">
      <alignment vertical="center" wrapText="1"/>
    </xf>
    <xf numFmtId="0" fontId="0" fillId="0" borderId="1" xfId="0" applyFont="1" applyBorder="1" applyAlignment="1">
      <alignment horizontal="center" vertical="center" wrapText="1"/>
    </xf>
    <xf numFmtId="0" fontId="9" fillId="0" borderId="1" xfId="0" applyNumberFormat="1" applyFont="1" applyFill="1" applyBorder="1" applyAlignment="1">
      <alignment horizontal="center" vertical="center" wrapText="1"/>
    </xf>
    <xf numFmtId="0" fontId="0" fillId="0" borderId="1" xfId="0" applyNumberFormat="1" applyBorder="1" applyAlignment="1">
      <alignment horizontal="center" vertical="center" wrapText="1"/>
    </xf>
    <xf numFmtId="0" fontId="0" fillId="0" borderId="1" xfId="0" applyBorder="1" applyAlignment="1">
      <alignment horizontal="center" vertical="center" wrapText="1"/>
    </xf>
    <xf numFmtId="44" fontId="9" fillId="0" borderId="1" xfId="1" applyFont="1" applyFill="1" applyBorder="1" applyAlignment="1">
      <alignment horizontal="center" vertical="center" wrapText="1"/>
    </xf>
    <xf numFmtId="0" fontId="0" fillId="0" borderId="3" xfId="0" applyFont="1" applyBorder="1" applyAlignment="1">
      <alignment horizontal="center" vertical="center" wrapText="1"/>
    </xf>
    <xf numFmtId="49" fontId="0" fillId="0" borderId="1" xfId="0" applyNumberForma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4" xfId="0" applyFont="1" applyBorder="1" applyAlignment="1">
      <alignment horizontal="center" vertical="center" wrapText="1"/>
    </xf>
    <xf numFmtId="44" fontId="0" fillId="0" borderId="1" xfId="1" applyFont="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Alignment="1">
      <alignment horizontal="left" indent="1"/>
    </xf>
    <xf numFmtId="44" fontId="0" fillId="0" borderId="0" xfId="1" applyFont="1"/>
    <xf numFmtId="44" fontId="3" fillId="0" borderId="1" xfId="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Border="1" applyAlignment="1">
      <alignment horizontal="center" vertical="center" wrapText="1"/>
    </xf>
    <xf numFmtId="164" fontId="0" fillId="4" borderId="4" xfId="1" applyNumberFormat="1" applyFont="1" applyFill="1" applyBorder="1" applyAlignment="1">
      <alignment horizontal="center" vertical="center" wrapText="1"/>
    </xf>
    <xf numFmtId="44" fontId="0" fillId="0" borderId="0" xfId="0" applyNumberFormat="1" applyAlignment="1">
      <alignment horizontal="left" indent="1"/>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0" fontId="0" fillId="4" borderId="1" xfId="0" applyFont="1" applyFill="1" applyBorder="1" applyAlignment="1">
      <alignment horizontal="center" vertical="center" wrapText="1"/>
    </xf>
    <xf numFmtId="44" fontId="0" fillId="0" borderId="1" xfId="1" applyFont="1" applyFill="1" applyBorder="1" applyAlignment="1">
      <alignment vertical="center" wrapText="1"/>
    </xf>
    <xf numFmtId="0" fontId="13" fillId="0" borderId="1" xfId="0" applyFont="1" applyBorder="1" applyAlignment="1">
      <alignment horizontal="center" vertical="center" wrapText="1"/>
    </xf>
    <xf numFmtId="0" fontId="0" fillId="0" borderId="0" xfId="0" applyAlignment="1">
      <alignment horizontal="left" indent="2"/>
    </xf>
    <xf numFmtId="44" fontId="0" fillId="0" borderId="0" xfId="0" applyNumberFormat="1" applyAlignment="1">
      <alignment horizontal="left" indent="2"/>
    </xf>
    <xf numFmtId="9" fontId="0" fillId="0" borderId="0" xfId="2" applyFont="1"/>
    <xf numFmtId="0" fontId="0" fillId="4" borderId="0" xfId="0" applyFill="1" applyAlignment="1">
      <alignment horizontal="left"/>
    </xf>
    <xf numFmtId="44" fontId="0" fillId="4" borderId="0" xfId="1" applyFont="1" applyFill="1"/>
    <xf numFmtId="0" fontId="0" fillId="4" borderId="0" xfId="0" applyFill="1"/>
    <xf numFmtId="9" fontId="0" fillId="0" borderId="0" xfId="2" applyFont="1" applyAlignment="1">
      <alignment horizontal="center"/>
    </xf>
    <xf numFmtId="0" fontId="0" fillId="0" borderId="0" xfId="0" applyAlignment="1">
      <alignment horizontal="center"/>
    </xf>
    <xf numFmtId="9" fontId="0" fillId="0" borderId="0" xfId="2" applyFont="1" applyAlignment="1">
      <alignment horizontal="center" vertical="center"/>
    </xf>
    <xf numFmtId="0" fontId="0" fillId="0" borderId="0" xfId="0" applyAlignment="1">
      <alignment horizontal="center" vertical="center"/>
    </xf>
    <xf numFmtId="0" fontId="0" fillId="4" borderId="0" xfId="0" applyFill="1" applyAlignment="1">
      <alignment horizontal="center" vertical="center"/>
    </xf>
    <xf numFmtId="44" fontId="0" fillId="4" borderId="0" xfId="1" applyFont="1" applyFill="1" applyAlignment="1">
      <alignment horizontal="center" vertical="center"/>
    </xf>
    <xf numFmtId="44" fontId="0" fillId="4" borderId="0" xfId="0" applyNumberFormat="1" applyFill="1"/>
    <xf numFmtId="9" fontId="0" fillId="4" borderId="0" xfId="2" applyFont="1" applyFill="1"/>
    <xf numFmtId="9" fontId="0" fillId="0" borderId="1" xfId="0" applyNumberFormat="1" applyBorder="1" applyAlignment="1">
      <alignment horizontal="center" vertical="center"/>
    </xf>
    <xf numFmtId="0" fontId="0" fillId="2" borderId="0" xfId="0" applyFill="1"/>
    <xf numFmtId="0" fontId="0" fillId="2" borderId="1" xfId="0" applyFill="1" applyBorder="1"/>
    <xf numFmtId="9" fontId="0" fillId="2" borderId="1" xfId="2" applyFont="1" applyFill="1" applyBorder="1" applyAlignment="1">
      <alignment horizontal="center" vertical="center"/>
    </xf>
    <xf numFmtId="0" fontId="12" fillId="0" borderId="0" xfId="0" applyFont="1" applyFill="1"/>
    <xf numFmtId="0" fontId="12" fillId="0" borderId="1" xfId="2" applyNumberFormat="1" applyFont="1" applyFill="1" applyBorder="1" applyAlignment="1">
      <alignment horizontal="center" vertical="center"/>
    </xf>
    <xf numFmtId="9" fontId="13" fillId="2" borderId="1" xfId="0" applyNumberFormat="1" applyFont="1" applyFill="1" applyBorder="1" applyAlignment="1">
      <alignment horizontal="center" vertical="center"/>
    </xf>
    <xf numFmtId="0" fontId="14" fillId="2" borderId="1" xfId="0" applyFont="1" applyFill="1" applyBorder="1" applyAlignment="1">
      <alignment horizontal="center"/>
    </xf>
    <xf numFmtId="0" fontId="14" fillId="2" borderId="5"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4" fillId="2" borderId="1" xfId="0" applyFont="1" applyFill="1" applyBorder="1" applyAlignment="1">
      <alignment horizontal="center" vertical="center"/>
    </xf>
    <xf numFmtId="0" fontId="14" fillId="2" borderId="1" xfId="0" applyFont="1" applyFill="1" applyBorder="1"/>
    <xf numFmtId="0" fontId="17" fillId="0" borderId="0" xfId="0" applyFont="1" applyFill="1"/>
    <xf numFmtId="44" fontId="0" fillId="0" borderId="10" xfId="1" applyNumberFormat="1" applyFont="1" applyBorder="1" applyAlignment="1">
      <alignment horizontal="center" vertical="center"/>
    </xf>
    <xf numFmtId="9" fontId="0" fillId="0" borderId="11" xfId="2" applyFont="1" applyBorder="1" applyAlignment="1">
      <alignment horizontal="center" vertical="center"/>
    </xf>
    <xf numFmtId="44" fontId="0" fillId="0" borderId="10" xfId="1" applyFont="1" applyBorder="1" applyAlignment="1">
      <alignment horizontal="center" vertical="center"/>
    </xf>
    <xf numFmtId="44" fontId="0" fillId="0" borderId="10" xfId="1" applyFont="1" applyFill="1" applyBorder="1" applyAlignment="1">
      <alignment horizontal="center" vertical="center"/>
    </xf>
    <xf numFmtId="0" fontId="14" fillId="2" borderId="10" xfId="0" applyFont="1" applyFill="1" applyBorder="1" applyAlignment="1">
      <alignment horizontal="center"/>
    </xf>
    <xf numFmtId="0" fontId="14" fillId="2" borderId="11" xfId="0" applyFont="1" applyFill="1" applyBorder="1"/>
    <xf numFmtId="0" fontId="14" fillId="2" borderId="8" xfId="0" applyFont="1" applyFill="1" applyBorder="1"/>
    <xf numFmtId="0" fontId="20" fillId="2" borderId="9" xfId="0" applyFont="1" applyFill="1" applyBorder="1" applyAlignment="1"/>
    <xf numFmtId="0" fontId="14" fillId="2" borderId="10" xfId="0" applyFont="1" applyFill="1" applyBorder="1" applyAlignment="1">
      <alignment horizontal="center" vertical="center"/>
    </xf>
    <xf numFmtId="0" fontId="21" fillId="2" borderId="11" xfId="0" applyFont="1" applyFill="1" applyBorder="1" applyAlignment="1">
      <alignment horizontal="left" vertical="center" wrapText="1"/>
    </xf>
    <xf numFmtId="0" fontId="14" fillId="2" borderId="12" xfId="0" applyFont="1" applyFill="1" applyBorder="1"/>
    <xf numFmtId="0" fontId="14" fillId="2" borderId="13" xfId="0" applyFont="1" applyFill="1" applyBorder="1" applyAlignment="1"/>
    <xf numFmtId="0" fontId="14" fillId="2" borderId="12" xfId="0" applyFont="1" applyFill="1" applyBorder="1" applyAlignment="1">
      <alignment horizontal="center" vertical="center"/>
    </xf>
    <xf numFmtId="44" fontId="5" fillId="0" borderId="12" xfId="1" applyNumberFormat="1" applyFont="1" applyBorder="1" applyAlignment="1">
      <alignment horizontal="center"/>
    </xf>
    <xf numFmtId="44" fontId="5" fillId="0" borderId="12" xfId="1" applyFont="1" applyBorder="1" applyAlignment="1">
      <alignment horizontal="center"/>
    </xf>
    <xf numFmtId="44" fontId="5" fillId="0" borderId="12" xfId="0" applyNumberFormat="1" applyFont="1" applyBorder="1" applyAlignment="1">
      <alignment horizontal="center"/>
    </xf>
    <xf numFmtId="0" fontId="14" fillId="2" borderId="11" xfId="0" applyFont="1" applyFill="1" applyBorder="1" applyAlignment="1">
      <alignment horizontal="center"/>
    </xf>
    <xf numFmtId="0" fontId="14" fillId="0" borderId="0" xfId="0" applyFont="1" applyFill="1"/>
    <xf numFmtId="0" fontId="14" fillId="0" borderId="0" xfId="0" applyFont="1" applyFill="1" applyAlignment="1"/>
    <xf numFmtId="0" fontId="0" fillId="0" borderId="0" xfId="0" applyFont="1"/>
    <xf numFmtId="0" fontId="0" fillId="2" borderId="10" xfId="0" applyFont="1" applyFill="1" applyBorder="1" applyAlignment="1">
      <alignment horizontal="center" vertical="center"/>
    </xf>
    <xf numFmtId="0" fontId="22" fillId="2" borderId="16" xfId="0" applyFont="1" applyFill="1" applyBorder="1" applyAlignment="1"/>
    <xf numFmtId="0" fontId="14" fillId="2" borderId="2" xfId="0" applyFont="1" applyFill="1" applyBorder="1"/>
    <xf numFmtId="0" fontId="0" fillId="2" borderId="2" xfId="0" applyFont="1" applyFill="1" applyBorder="1"/>
    <xf numFmtId="0" fontId="14" fillId="2" borderId="17" xfId="0" applyFont="1" applyFill="1" applyBorder="1"/>
    <xf numFmtId="9" fontId="0" fillId="0" borderId="18" xfId="2" applyFont="1" applyBorder="1" applyAlignment="1">
      <alignment horizontal="center" vertical="center"/>
    </xf>
    <xf numFmtId="0" fontId="0" fillId="0" borderId="11" xfId="0" applyBorder="1"/>
    <xf numFmtId="44" fontId="5" fillId="2" borderId="12" xfId="0" applyNumberFormat="1" applyFont="1" applyFill="1" applyBorder="1"/>
    <xf numFmtId="9" fontId="0" fillId="2" borderId="13" xfId="0" applyNumberFormat="1" applyFont="1" applyFill="1" applyBorder="1"/>
    <xf numFmtId="44" fontId="0" fillId="0" borderId="10" xfId="1" applyFont="1" applyBorder="1"/>
    <xf numFmtId="9" fontId="0" fillId="2" borderId="13" xfId="0" applyNumberFormat="1" applyFont="1" applyFill="1" applyBorder="1" applyAlignment="1">
      <alignment horizontal="center"/>
    </xf>
    <xf numFmtId="9" fontId="0" fillId="0" borderId="13" xfId="0" applyNumberFormat="1" applyFont="1" applyBorder="1" applyAlignment="1">
      <alignment horizontal="center"/>
    </xf>
    <xf numFmtId="0" fontId="7" fillId="0" borderId="0" xfId="0" applyFont="1"/>
    <xf numFmtId="9" fontId="12" fillId="0" borderId="0" xfId="2" applyFont="1"/>
    <xf numFmtId="44" fontId="12" fillId="0" borderId="0" xfId="0" applyNumberFormat="1" applyFont="1"/>
    <xf numFmtId="44" fontId="0" fillId="0" borderId="0" xfId="0" applyNumberFormat="1"/>
    <xf numFmtId="0" fontId="0" fillId="0" borderId="0" xfId="0" applyFill="1"/>
    <xf numFmtId="0" fontId="21" fillId="2" borderId="11" xfId="0" applyFont="1" applyFill="1" applyBorder="1" applyAlignment="1">
      <alignment vertical="center" wrapText="1"/>
    </xf>
    <xf numFmtId="0" fontId="26" fillId="0" borderId="0" xfId="0" applyFont="1" applyAlignment="1">
      <alignment horizontal="left" vertical="center" indent="3" readingOrder="1"/>
    </xf>
    <xf numFmtId="8" fontId="0" fillId="0" borderId="4" xfId="1" applyNumberFormat="1" applyFont="1" applyBorder="1" applyAlignment="1">
      <alignment horizontal="center" vertical="center" wrapText="1"/>
    </xf>
    <xf numFmtId="8" fontId="0" fillId="0" borderId="7" xfId="1" applyNumberFormat="1" applyFont="1" applyBorder="1" applyAlignment="1">
      <alignment horizontal="center" vertical="center" wrapText="1"/>
    </xf>
    <xf numFmtId="8" fontId="0" fillId="0" borderId="5" xfId="1" applyNumberFormat="1" applyFont="1" applyBorder="1" applyAlignment="1">
      <alignment horizontal="center" vertical="center" wrapText="1"/>
    </xf>
    <xf numFmtId="0" fontId="0" fillId="0" borderId="4" xfId="0" applyFont="1" applyBorder="1" applyAlignment="1">
      <alignment horizontal="center" vertical="center" wrapText="1"/>
    </xf>
    <xf numFmtId="0" fontId="0" fillId="0" borderId="7" xfId="0" applyFont="1" applyBorder="1" applyAlignment="1">
      <alignment horizontal="center" vertical="center" wrapText="1"/>
    </xf>
    <xf numFmtId="0" fontId="0" fillId="0" borderId="5" xfId="0" applyFont="1" applyBorder="1" applyAlignment="1">
      <alignment horizontal="center" vertical="center" wrapText="1"/>
    </xf>
    <xf numFmtId="0" fontId="0" fillId="4"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0" fillId="4" borderId="1" xfId="0" applyFont="1" applyFill="1" applyBorder="1" applyAlignment="1">
      <alignment horizontal="justify" vertical="justify"/>
    </xf>
    <xf numFmtId="0" fontId="0" fillId="4" borderId="1" xfId="0" applyFont="1" applyFill="1" applyBorder="1" applyAlignment="1">
      <alignment horizontal="justify" vertical="justify" wrapText="1"/>
    </xf>
    <xf numFmtId="0" fontId="0" fillId="0" borderId="1" xfId="0" applyFont="1" applyBorder="1" applyAlignment="1">
      <alignment horizontal="center" vertical="center" wrapText="1"/>
    </xf>
    <xf numFmtId="17" fontId="0" fillId="0" borderId="1" xfId="0" applyNumberFormat="1" applyFont="1" applyBorder="1" applyAlignment="1">
      <alignment horizontal="center" vertical="center" wrapText="1"/>
    </xf>
    <xf numFmtId="49" fontId="0" fillId="0" borderId="1" xfId="0" applyNumberFormat="1"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0" fillId="0" borderId="1" xfId="0" applyFont="1" applyBorder="1" applyAlignment="1">
      <alignment horizontal="center" wrapText="1"/>
    </xf>
    <xf numFmtId="0" fontId="0" fillId="0" borderId="4" xfId="0" applyBorder="1" applyAlignment="1">
      <alignment horizontal="center" vertical="center" wrapText="1"/>
    </xf>
    <xf numFmtId="0" fontId="4" fillId="2" borderId="6" xfId="0" applyFont="1" applyFill="1" applyBorder="1" applyAlignment="1">
      <alignment horizontal="center" vertical="center" wrapText="1"/>
    </xf>
    <xf numFmtId="44" fontId="0" fillId="0" borderId="1" xfId="1" applyFont="1" applyBorder="1" applyAlignment="1">
      <alignment horizontal="center" vertical="center" wrapText="1"/>
    </xf>
    <xf numFmtId="0" fontId="0" fillId="0" borderId="1" xfId="0" applyBorder="1" applyAlignment="1">
      <alignment horizontal="center" vertical="center" wrapText="1"/>
    </xf>
    <xf numFmtId="44" fontId="0" fillId="0" borderId="4" xfId="1" applyFont="1" applyBorder="1" applyAlignment="1">
      <alignment horizontal="center" vertical="center" wrapText="1"/>
    </xf>
    <xf numFmtId="44" fontId="0" fillId="0" borderId="7" xfId="1" applyFont="1" applyBorder="1" applyAlignment="1">
      <alignment horizontal="center" vertical="center" wrapText="1"/>
    </xf>
    <xf numFmtId="44" fontId="0" fillId="0" borderId="5" xfId="1" applyFont="1" applyBorder="1" applyAlignment="1">
      <alignment horizontal="center" vertical="center" wrapText="1"/>
    </xf>
    <xf numFmtId="0" fontId="20" fillId="2" borderId="14" xfId="0" applyFont="1" applyFill="1" applyBorder="1" applyAlignment="1">
      <alignment horizontal="center"/>
    </xf>
    <xf numFmtId="0" fontId="20" fillId="2" borderId="15" xfId="0" applyFont="1" applyFill="1" applyBorder="1" applyAlignment="1">
      <alignment horizontal="center"/>
    </xf>
    <xf numFmtId="0" fontId="25" fillId="0" borderId="0" xfId="0" applyFont="1" applyAlignment="1">
      <alignment horizontal="center" wrapText="1"/>
    </xf>
    <xf numFmtId="0" fontId="24" fillId="0" borderId="0" xfId="0" applyFont="1" applyAlignment="1">
      <alignment horizontal="center"/>
    </xf>
    <xf numFmtId="0" fontId="20" fillId="2" borderId="8" xfId="0" applyFont="1" applyFill="1" applyBorder="1" applyAlignment="1">
      <alignment horizontal="center"/>
    </xf>
    <xf numFmtId="0" fontId="20" fillId="2" borderId="9" xfId="0" applyFont="1" applyFill="1" applyBorder="1" applyAlignment="1">
      <alignment horizontal="center"/>
    </xf>
    <xf numFmtId="0" fontId="23" fillId="0" borderId="0" xfId="0" applyFont="1" applyAlignment="1">
      <alignment horizontal="center" vertical="center" wrapText="1"/>
    </xf>
    <xf numFmtId="0" fontId="20" fillId="2" borderId="1" xfId="0" applyFont="1" applyFill="1" applyBorder="1" applyAlignment="1">
      <alignment horizontal="center"/>
    </xf>
    <xf numFmtId="0" fontId="19" fillId="0" borderId="2"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3" xfId="0" applyFont="1" applyBorder="1" applyAlignment="1">
      <alignment horizontal="center" vertical="center" wrapText="1"/>
    </xf>
    <xf numFmtId="0" fontId="14" fillId="2" borderId="1" xfId="0" applyFont="1" applyFill="1" applyBorder="1" applyAlignment="1">
      <alignment horizontal="center"/>
    </xf>
  </cellXfs>
  <cellStyles count="3">
    <cellStyle name="Currency" xfId="1" builtinId="4"/>
    <cellStyle name="Normal" xfId="0" builtinId="0"/>
    <cellStyle name="Percent" xfId="2" builtinId="5"/>
  </cellStyles>
  <dxfs count="38">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pivotCacheDefinition" Target="pivotCache/pivotCacheDefinition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pivotCacheDefinition" Target="pivotCache/pivotCacheDefinition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r:id="rId1" refreshedBy="FRANCISCO" refreshedDate="41526.353448379632" createdVersion="3" refreshedVersion="3" minRefreshableVersion="3" recordCount="215">
  <cacheSource type="worksheet">
    <worksheetSource ref="A2:O217" sheet="1 Matriz General"/>
  </cacheSource>
  <cacheFields count="15">
    <cacheField name="EJE" numFmtId="0">
      <sharedItems containsString="0" containsBlank="1" containsNumber="1" containsInteger="1" minValue="1" maxValue="6" count="7">
        <n v="1"/>
        <n v="5"/>
        <n v="2"/>
        <n v="3"/>
        <n v="4"/>
        <m/>
        <n v="6"/>
      </sharedItems>
    </cacheField>
    <cacheField name="GOES" numFmtId="0">
      <sharedItems containsBlank="1"/>
    </cacheField>
    <cacheField name="NOMBRE DEL PROYECTO " numFmtId="0">
      <sharedItems containsBlank="1"/>
    </cacheField>
    <cacheField name="BREVE DESCRIPCIÓN " numFmtId="0">
      <sharedItems containsBlank="1" longText="1"/>
    </cacheField>
    <cacheField name="MUNICIPIO " numFmtId="0">
      <sharedItems containsBlank="1" longText="1"/>
    </cacheField>
    <cacheField name="NUCLE0 " numFmtId="0">
      <sharedItems containsBlank="1" containsMixedTypes="1" containsNumber="1" containsInteger="1" minValue="0" maxValue="5"/>
    </cacheField>
    <cacheField name="MONTO POR NUCLEO" numFmtId="0">
      <sharedItems containsString="0" containsBlank="1" containsNumber="1" containsInteger="1" minValue="85000" maxValue="85000000"/>
    </cacheField>
    <cacheField name="INSTITUCIÓN RESPONSABLE " numFmtId="0">
      <sharedItems containsBlank="1"/>
    </cacheField>
    <cacheField name="MONTO PREVISTO " numFmtId="0">
      <sharedItems containsBlank="1" containsMixedTypes="1" containsNumber="1" minValue="1534.78" maxValue="155000000"/>
    </cacheField>
    <cacheField name="MONTO APROBADO ($)" numFmtId="0">
      <sharedItems containsString="0" containsBlank="1" containsNumber="1" minValue="1534.78" maxValue="92160000" count="154">
        <n v="1233630"/>
        <m/>
        <n v="2668488"/>
        <n v="101882"/>
        <n v="85000"/>
        <n v="1599321"/>
        <n v="303898"/>
        <n v="524295"/>
        <n v="148115"/>
        <n v="2206400"/>
        <n v="1563541.46"/>
        <n v="1221339.1399999999"/>
        <n v="59471.77"/>
        <n v="30814.98"/>
        <n v="59471.75"/>
        <n v="15727.64"/>
        <n v="102609.72"/>
        <n v="57706.46"/>
        <n v="6362.92"/>
        <n v="45902.400000000001"/>
        <n v="15727.63"/>
        <n v="80597.09"/>
        <n v="27531.75"/>
        <n v="33612.1"/>
        <n v="15161.68"/>
        <n v="48773.760000000002"/>
        <n v="7767.38"/>
        <n v="22929.07"/>
        <n v="1534.78"/>
        <n v="18390"/>
        <n v="297870"/>
        <n v="303810"/>
        <n v="418950"/>
        <n v="104010"/>
        <n v="84390"/>
        <n v="103170"/>
        <n v="148650"/>
        <n v="124980"/>
        <n v="243570"/>
        <n v="85800"/>
        <n v="141510"/>
        <n v="146250"/>
        <n v="83730"/>
        <n v="47010"/>
        <n v="100620"/>
        <n v="37950"/>
        <n v="24060"/>
        <n v="91830"/>
        <n v="33930"/>
        <n v="40680"/>
        <n v="86010"/>
        <n v="203010"/>
        <n v="40020"/>
        <n v="160680"/>
        <n v="81150"/>
        <n v="29790"/>
        <n v="245160"/>
        <n v="40770"/>
        <n v="374820"/>
        <n v="377610"/>
        <n v="136440"/>
        <n v="92160"/>
        <n v="184200"/>
        <n v="47220"/>
        <n v="84210"/>
        <n v="260010"/>
        <n v="138120"/>
        <n v="288540"/>
        <n v="133230"/>
        <n v="157410"/>
        <n v="109770"/>
        <n v="212130"/>
        <n v="125130"/>
        <n v="309420"/>
        <n v="356220"/>
        <n v="102390"/>
        <n v="157200"/>
        <n v="475680"/>
        <n v="30000"/>
        <n v="248670"/>
        <n v="102210"/>
        <n v="14430"/>
        <n v="89160"/>
        <n v="192840"/>
        <n v="115170"/>
        <n v="144600"/>
        <n v="75540"/>
        <n v="278490"/>
        <n v="22890"/>
        <n v="15030"/>
        <n v="96270"/>
        <n v="31890"/>
        <n v="467130"/>
        <n v="186210"/>
        <n v="132870"/>
        <n v="83490"/>
        <n v="100320"/>
        <n v="27000"/>
        <n v="94890"/>
        <n v="157830"/>
        <n v="44970"/>
        <n v="83970"/>
        <n v="210240"/>
        <n v="11980"/>
        <n v="23960"/>
        <n v="48800"/>
        <n v="11058302"/>
        <n v="200000"/>
        <n v="2354545"/>
        <n v="900000"/>
        <n v="20000000"/>
        <n v="500000"/>
        <n v="5290957"/>
        <n v="8063651.9199999999"/>
        <n v="2403282.5499999998"/>
        <n v="5195960.07"/>
        <n v="6148790.9400000004"/>
        <n v="6844060.5899999999"/>
        <n v="608796.63"/>
        <n v="80000"/>
        <n v="2497017.44"/>
        <n v="3000000"/>
        <n v="1500000"/>
        <n v="24000"/>
        <n v="16000"/>
        <n v="47058.879999999997"/>
        <n v="58720"/>
        <n v="32000"/>
        <n v="218209.51"/>
        <n v="400000"/>
        <n v="7490000"/>
        <n v="3200000"/>
        <n v="2000000"/>
        <n v="588460"/>
        <n v="127650"/>
        <n v="300000"/>
        <n v="14960000"/>
        <n v="13200000"/>
        <n v="18200000"/>
        <n v="25350000"/>
        <n v="7150000"/>
        <n v="19500000"/>
        <n v="22100000"/>
        <n v="1560000"/>
        <n v="2504666.6666666665"/>
        <n v="5850000"/>
        <n v="13000000"/>
        <n v="13400000"/>
        <n v="85000000"/>
        <n v="60000000"/>
        <n v="750000"/>
        <n v="92160000"/>
        <n v="320000"/>
        <n v="47190000"/>
      </sharedItems>
    </cacheField>
    <cacheField name="FUENTE " numFmtId="0">
      <sharedItems containsBlank="1" count="29">
        <s v="BCIE"/>
        <m/>
        <s v="Cooperación Japonesa"/>
        <s v="LUX DEV"/>
        <s v="USA -OIT"/>
        <s v="BCIE "/>
        <s v="FANTEL"/>
        <s v="USDA"/>
        <s v="GOES"/>
        <s v="GOES y FAE"/>
        <s v="AECID"/>
        <s v="BM"/>
        <s v="PNUD / GEF"/>
        <s v="PNUMA / GEF"/>
        <s v="BID/AECID"/>
        <s v="TAIWAN"/>
        <s v="PNUD"/>
        <s v="BID   "/>
        <s v="USAID"/>
        <s v="UNION EUROPEA"/>
        <s v="FOSEP"/>
        <s v="KOICA"/>
        <s v="Swiss Contact"/>
        <s v="CCOP. ALEMANA Y SICA"/>
        <s v="IKLU"/>
        <s v="COOP. ALEMANA Y SICA"/>
        <s v="CCOP. ALEMANA"/>
        <s v="COOP. ALEMANA"/>
        <s v="BID"/>
      </sharedItems>
    </cacheField>
    <cacheField name="MONTO EN GESTION  ($)" numFmtId="0">
      <sharedItems containsString="0" containsBlank="1" containsNumber="1" minValue="737490" maxValue="180000000" count="30">
        <m/>
        <n v="1900000"/>
        <n v="3180000"/>
        <n v="180000000"/>
        <n v="6470000"/>
        <n v="2222500"/>
        <n v="13000000"/>
        <n v="102710000"/>
        <n v="45730000"/>
        <n v="16130000"/>
        <n v="8760000"/>
        <n v="4221436.83"/>
        <n v="1679759.67"/>
        <n v="4500000"/>
        <n v="12002470"/>
        <n v="2130352.36"/>
        <n v="3850000"/>
        <n v="11620000"/>
        <n v="18000000"/>
        <n v="15000000"/>
        <n v="9000000"/>
        <n v="1033500"/>
        <n v="737490"/>
        <n v="12644878"/>
        <n v="7150000"/>
        <n v="5850000"/>
        <n v="2750000"/>
        <n v="144700000"/>
        <n v="155000000"/>
        <n v="30000000"/>
      </sharedItems>
    </cacheField>
    <cacheField name="FUENTE 2" numFmtId="0">
      <sharedItems containsBlank="1" count="13">
        <m/>
        <s v="BID"/>
        <s v="Varios"/>
        <s v="BID/AECID/LA  IF"/>
        <s v="Fondos Yucatán"/>
        <s v="Fomilenio II"/>
        <s v="Cooperacion Italiana"/>
        <s v="USAID"/>
        <s v="Cooperación Japonesa"/>
        <s v="AECID"/>
        <s v="CCOP. ALEMANA Y SICA"/>
        <s v="COOP. ALEMANA Y SICA"/>
        <s v="BCIE"/>
      </sharedItems>
    </cacheField>
    <cacheField name="MONTO SIN FINANC. ($)" numFmtId="0">
      <sharedItems containsString="0" containsBlank="1" containsNumber="1" minValue="999795" maxValue="9860000"/>
    </cacheField>
    <cacheField name="FUENTE 3" numFmtId="0">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FRANCISCO" refreshedDate="41526.353448726855" createdVersion="3" refreshedVersion="3" minRefreshableVersion="3" recordCount="222">
  <cacheSource type="worksheet">
    <worksheetSource ref="A2:J224" sheet="1 Matriz General"/>
  </cacheSource>
  <cacheFields count="10">
    <cacheField name="EJE" numFmtId="0">
      <sharedItems containsString="0" containsBlank="1" containsNumber="1" containsInteger="1" minValue="1" maxValue="6" count="7">
        <n v="1"/>
        <n v="5"/>
        <n v="2"/>
        <n v="3"/>
        <n v="4"/>
        <m/>
        <n v="6"/>
      </sharedItems>
    </cacheField>
    <cacheField name="GOES" numFmtId="0">
      <sharedItems containsBlank="1"/>
    </cacheField>
    <cacheField name="NOMBRE DEL PROYECTO " numFmtId="0">
      <sharedItems containsBlank="1"/>
    </cacheField>
    <cacheField name="BREVE DESCRIPCIÓN " numFmtId="0">
      <sharedItems containsBlank="1" longText="1"/>
    </cacheField>
    <cacheField name="MUNICIPIO " numFmtId="0">
      <sharedItems containsBlank="1" longText="1"/>
    </cacheField>
    <cacheField name="NUCLE0 " numFmtId="0">
      <sharedItems containsBlank="1" containsMixedTypes="1" containsNumber="1" containsInteger="1" minValue="0" maxValue="5"/>
    </cacheField>
    <cacheField name="MONTO POR NUCLEO" numFmtId="0">
      <sharedItems containsString="0" containsBlank="1" containsNumber="1" containsInteger="1" minValue="85000" maxValue="85000000"/>
    </cacheField>
    <cacheField name="INSTITUCIÓN RESPONSABLE " numFmtId="0">
      <sharedItems containsBlank="1"/>
    </cacheField>
    <cacheField name="MONTO PREVISTO " numFmtId="0">
      <sharedItems containsBlank="1" containsMixedTypes="1" containsNumber="1" minValue="1534.78" maxValue="155000000"/>
    </cacheField>
    <cacheField name="MONTO APROBADO ($)" numFmtId="0">
      <sharedItems containsString="0" containsBlank="1" containsNumber="1" minValue="1534.78" maxValue="92160000" count="154">
        <n v="1233630"/>
        <m/>
        <n v="2668488"/>
        <n v="101882"/>
        <n v="85000"/>
        <n v="1599321"/>
        <n v="303898"/>
        <n v="524295"/>
        <n v="148115"/>
        <n v="2206400"/>
        <n v="1563541.46"/>
        <n v="1221339.1399999999"/>
        <n v="59471.77"/>
        <n v="30814.98"/>
        <n v="59471.75"/>
        <n v="15727.64"/>
        <n v="102609.72"/>
        <n v="57706.46"/>
        <n v="6362.92"/>
        <n v="45902.400000000001"/>
        <n v="15727.63"/>
        <n v="80597.09"/>
        <n v="27531.75"/>
        <n v="33612.1"/>
        <n v="15161.68"/>
        <n v="48773.760000000002"/>
        <n v="7767.38"/>
        <n v="22929.07"/>
        <n v="1534.78"/>
        <n v="18390"/>
        <n v="297870"/>
        <n v="303810"/>
        <n v="418950"/>
        <n v="104010"/>
        <n v="84390"/>
        <n v="103170"/>
        <n v="148650"/>
        <n v="124980"/>
        <n v="243570"/>
        <n v="85800"/>
        <n v="141510"/>
        <n v="146250"/>
        <n v="83730"/>
        <n v="47010"/>
        <n v="100620"/>
        <n v="37950"/>
        <n v="24060"/>
        <n v="91830"/>
        <n v="33930"/>
        <n v="40680"/>
        <n v="86010"/>
        <n v="203010"/>
        <n v="40020"/>
        <n v="160680"/>
        <n v="81150"/>
        <n v="29790"/>
        <n v="245160"/>
        <n v="40770"/>
        <n v="374820"/>
        <n v="377610"/>
        <n v="136440"/>
        <n v="92160"/>
        <n v="184200"/>
        <n v="47220"/>
        <n v="84210"/>
        <n v="260010"/>
        <n v="138120"/>
        <n v="288540"/>
        <n v="133230"/>
        <n v="157410"/>
        <n v="109770"/>
        <n v="212130"/>
        <n v="125130"/>
        <n v="309420"/>
        <n v="356220"/>
        <n v="102390"/>
        <n v="157200"/>
        <n v="475680"/>
        <n v="30000"/>
        <n v="248670"/>
        <n v="102210"/>
        <n v="14430"/>
        <n v="89160"/>
        <n v="192840"/>
        <n v="115170"/>
        <n v="144600"/>
        <n v="75540"/>
        <n v="278490"/>
        <n v="22890"/>
        <n v="15030"/>
        <n v="96270"/>
        <n v="31890"/>
        <n v="467130"/>
        <n v="186210"/>
        <n v="132870"/>
        <n v="83490"/>
        <n v="100320"/>
        <n v="27000"/>
        <n v="94890"/>
        <n v="157830"/>
        <n v="44970"/>
        <n v="83970"/>
        <n v="210240"/>
        <n v="11980"/>
        <n v="23960"/>
        <n v="48800"/>
        <n v="11058302"/>
        <n v="200000"/>
        <n v="2354545"/>
        <n v="900000"/>
        <n v="20000000"/>
        <n v="500000"/>
        <n v="5290957"/>
        <n v="8063651.9199999999"/>
        <n v="2403282.5499999998"/>
        <n v="5195960.07"/>
        <n v="6148790.9400000004"/>
        <n v="6844060.5899999999"/>
        <n v="608796.63"/>
        <n v="80000"/>
        <n v="2497017.44"/>
        <n v="3000000"/>
        <n v="1500000"/>
        <n v="24000"/>
        <n v="16000"/>
        <n v="47058.879999999997"/>
        <n v="58720"/>
        <n v="32000"/>
        <n v="218209.51"/>
        <n v="400000"/>
        <n v="7490000"/>
        <n v="3200000"/>
        <n v="2000000"/>
        <n v="588460"/>
        <n v="127650"/>
        <n v="300000"/>
        <n v="14960000"/>
        <n v="13200000"/>
        <n v="18200000"/>
        <n v="25350000"/>
        <n v="7150000"/>
        <n v="19500000"/>
        <n v="22100000"/>
        <n v="1560000"/>
        <n v="2504666.6666666665"/>
        <n v="5850000"/>
        <n v="13000000"/>
        <n v="13400000"/>
        <n v="85000000"/>
        <n v="60000000"/>
        <n v="750000"/>
        <n v="92160000"/>
        <n v="320000"/>
        <n v="4719000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FRANCISCO" refreshedDate="41526.353448958333" createdVersion="3" refreshedVersion="3" minRefreshableVersion="3" recordCount="217">
  <cacheSource type="worksheet">
    <worksheetSource ref="J2:L219" sheet="1 Matriz General"/>
  </cacheSource>
  <cacheFields count="3">
    <cacheField name="MONTO APROBADO ($)" numFmtId="0">
      <sharedItems containsString="0" containsBlank="1" containsNumber="1" minValue="1534.78" maxValue="92160000" count="154">
        <n v="1233630"/>
        <m/>
        <n v="2668488"/>
        <n v="101882"/>
        <n v="85000"/>
        <n v="1599321"/>
        <n v="303898"/>
        <n v="524295"/>
        <n v="148115"/>
        <n v="2206400"/>
        <n v="1563541.46"/>
        <n v="1221339.1399999999"/>
        <n v="59471.77"/>
        <n v="30814.98"/>
        <n v="59471.75"/>
        <n v="15727.64"/>
        <n v="102609.72"/>
        <n v="57706.46"/>
        <n v="6362.92"/>
        <n v="45902.400000000001"/>
        <n v="15727.63"/>
        <n v="80597.09"/>
        <n v="27531.75"/>
        <n v="33612.1"/>
        <n v="15161.68"/>
        <n v="48773.760000000002"/>
        <n v="7767.38"/>
        <n v="22929.07"/>
        <n v="1534.78"/>
        <n v="18390"/>
        <n v="297870"/>
        <n v="303810"/>
        <n v="418950"/>
        <n v="104010"/>
        <n v="84390"/>
        <n v="103170"/>
        <n v="148650"/>
        <n v="124980"/>
        <n v="243570"/>
        <n v="85800"/>
        <n v="141510"/>
        <n v="146250"/>
        <n v="83730"/>
        <n v="47010"/>
        <n v="100620"/>
        <n v="37950"/>
        <n v="24060"/>
        <n v="91830"/>
        <n v="33930"/>
        <n v="40680"/>
        <n v="86010"/>
        <n v="203010"/>
        <n v="40020"/>
        <n v="160680"/>
        <n v="81150"/>
        <n v="29790"/>
        <n v="245160"/>
        <n v="40770"/>
        <n v="374820"/>
        <n v="377610"/>
        <n v="136440"/>
        <n v="92160"/>
        <n v="184200"/>
        <n v="47220"/>
        <n v="84210"/>
        <n v="260010"/>
        <n v="138120"/>
        <n v="288540"/>
        <n v="133230"/>
        <n v="157410"/>
        <n v="109770"/>
        <n v="212130"/>
        <n v="125130"/>
        <n v="309420"/>
        <n v="356220"/>
        <n v="102390"/>
        <n v="157200"/>
        <n v="475680"/>
        <n v="30000"/>
        <n v="248670"/>
        <n v="102210"/>
        <n v="14430"/>
        <n v="89160"/>
        <n v="192840"/>
        <n v="115170"/>
        <n v="144600"/>
        <n v="75540"/>
        <n v="278490"/>
        <n v="22890"/>
        <n v="15030"/>
        <n v="96270"/>
        <n v="31890"/>
        <n v="467130"/>
        <n v="186210"/>
        <n v="132870"/>
        <n v="83490"/>
        <n v="100320"/>
        <n v="27000"/>
        <n v="94890"/>
        <n v="157830"/>
        <n v="44970"/>
        <n v="83970"/>
        <n v="210240"/>
        <n v="11980"/>
        <n v="23960"/>
        <n v="48800"/>
        <n v="11058302"/>
        <n v="200000"/>
        <n v="2354545"/>
        <n v="900000"/>
        <n v="20000000"/>
        <n v="500000"/>
        <n v="5290957"/>
        <n v="8063651.9199999999"/>
        <n v="2403282.5499999998"/>
        <n v="5195960.07"/>
        <n v="6148790.9400000004"/>
        <n v="6844060.5899999999"/>
        <n v="608796.63"/>
        <n v="80000"/>
        <n v="2497017.44"/>
        <n v="3000000"/>
        <n v="1500000"/>
        <n v="24000"/>
        <n v="16000"/>
        <n v="47058.879999999997"/>
        <n v="58720"/>
        <n v="32000"/>
        <n v="218209.51"/>
        <n v="400000"/>
        <n v="7490000"/>
        <n v="3200000"/>
        <n v="2000000"/>
        <n v="588460"/>
        <n v="127650"/>
        <n v="300000"/>
        <n v="14960000"/>
        <n v="13200000"/>
        <n v="18200000"/>
        <n v="25350000"/>
        <n v="7150000"/>
        <n v="19500000"/>
        <n v="22100000"/>
        <n v="1560000"/>
        <n v="2504666.6666666665"/>
        <n v="5850000"/>
        <n v="13000000"/>
        <n v="13400000"/>
        <n v="85000000"/>
        <n v="60000000"/>
        <n v="750000"/>
        <n v="92160000"/>
        <n v="320000"/>
        <n v="47190000"/>
      </sharedItems>
    </cacheField>
    <cacheField name="FUENTE " numFmtId="0">
      <sharedItems containsBlank="1" count="29">
        <s v="BCIE"/>
        <m/>
        <s v="Cooperación Japonesa"/>
        <s v="LUX DEV"/>
        <s v="USA -OIT"/>
        <s v="BCIE "/>
        <s v="FANTEL"/>
        <s v="USDA"/>
        <s v="GOES"/>
        <s v="GOES y FAE"/>
        <s v="AECID"/>
        <s v="BM"/>
        <s v="PNUD / GEF"/>
        <s v="PNUMA / GEF"/>
        <s v="BID/AECID"/>
        <s v="TAIWAN"/>
        <s v="PNUD"/>
        <s v="BID   "/>
        <s v="USAID"/>
        <s v="UNION EUROPEA"/>
        <s v="FOSEP"/>
        <s v="KOICA"/>
        <s v="Swiss Contact"/>
        <s v="CCOP. ALEMANA Y SICA"/>
        <s v="IKLU"/>
        <s v="COOP. ALEMANA Y SICA"/>
        <s v="CCOP. ALEMANA"/>
        <s v="COOP. ALEMANA"/>
        <s v="BID"/>
      </sharedItems>
    </cacheField>
    <cacheField name="MONTO EN GESTION  ($)" numFmtId="0">
      <sharedItems containsString="0" containsBlank="1" containsNumber="1" minValue="737490" maxValue="180000000" count="30">
        <m/>
        <n v="1900000"/>
        <n v="3180000"/>
        <n v="180000000"/>
        <n v="6470000"/>
        <n v="2222500"/>
        <n v="13000000"/>
        <n v="102710000"/>
        <n v="45730000"/>
        <n v="16130000"/>
        <n v="8760000"/>
        <n v="4221436.83"/>
        <n v="1679759.67"/>
        <n v="4500000"/>
        <n v="12002470"/>
        <n v="2130352.36"/>
        <n v="3850000"/>
        <n v="11620000"/>
        <n v="18000000"/>
        <n v="15000000"/>
        <n v="9000000"/>
        <n v="1033500"/>
        <n v="737490"/>
        <n v="12644878"/>
        <n v="7150000"/>
        <n v="5850000"/>
        <n v="2750000"/>
        <n v="144700000"/>
        <n v="155000000"/>
        <n v="3000000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FRANCISCO" refreshedDate="41526.353449305556" createdVersion="3" refreshedVersion="3" minRefreshableVersion="3" recordCount="210">
  <cacheSource type="worksheet">
    <worksheetSource ref="L2:M212" sheet="1 Matriz General"/>
  </cacheSource>
  <cacheFields count="2">
    <cacheField name="MONTO EN GESTION  ($)" numFmtId="0">
      <sharedItems containsString="0" containsBlank="1" containsNumber="1" minValue="737490" maxValue="180000000" count="30">
        <m/>
        <n v="1900000"/>
        <n v="3180000"/>
        <n v="180000000"/>
        <n v="6470000"/>
        <n v="2222500"/>
        <n v="13000000"/>
        <n v="102710000"/>
        <n v="45730000"/>
        <n v="16130000"/>
        <n v="8760000"/>
        <n v="4221436.83"/>
        <n v="1679759.67"/>
        <n v="4500000"/>
        <n v="12002470"/>
        <n v="2130352.36"/>
        <n v="3850000"/>
        <n v="11620000"/>
        <n v="18000000"/>
        <n v="15000000"/>
        <n v="9000000"/>
        <n v="1033500"/>
        <n v="737490"/>
        <n v="12644878"/>
        <n v="7150000"/>
        <n v="5850000"/>
        <n v="2750000"/>
        <n v="144700000"/>
        <n v="155000000"/>
        <n v="30000000"/>
      </sharedItems>
    </cacheField>
    <cacheField name="FUENTE " numFmtId="0">
      <sharedItems containsBlank="1" count="13">
        <m/>
        <s v="BID"/>
        <s v="Varios"/>
        <s v="BID/AECID/LA  IF"/>
        <s v="Fondos Yucatán"/>
        <s v="Fomilenio II"/>
        <s v="Cooperacion Italiana"/>
        <s v="USAID"/>
        <s v="Cooperación Japonesa"/>
        <s v="AECID"/>
        <s v="CCOP. ALEMANA Y SICA"/>
        <s v="COOP. ALEMANA Y SICA"/>
        <s v="BCI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15">
  <r>
    <x v="0"/>
    <s v="MAG "/>
    <s v="Desarrollo de la Cadena Avicola"/>
    <s v="Fomento de la producción y comercialización de camarón, tilapia y moluscos, con establecimiento de Centros de Desarrollo Productivo(CDP), Escuelas de Campo (ECAS) y Centros de Acopio y Servicios (CAS); para mejorar los niveles de rentabilidad y las condiciones de vida de los productores (as) acuícolas. "/>
    <s v="Departamento: Ahuachapan, Municipios: Ahuachapán, Atiquizaya, Guaymango, Jujutla y SanFrancisco Menéndez, Departamento: Sonsonate, Municipios: Acajutla, Caluco e Izalco; Departamento: La Paz, Municipios: Zacatecoluca, San Luís La Herradura; Departamento: Usulután, Municipios: Usulután, Jiquilisco y Jucuarán. Departamento: La Unión, Municipios: La Unión y Meanguera del Golfo. "/>
    <n v="1"/>
    <n v="657936"/>
    <s v="CENDEPESCA "/>
    <m/>
    <x v="0"/>
    <x v="0"/>
    <x v="0"/>
    <x v="0"/>
    <m/>
    <m/>
  </r>
  <r>
    <x v="0"/>
    <s v="MAG "/>
    <m/>
    <m/>
    <m/>
    <n v="3"/>
    <n v="164484"/>
    <s v="CENDEPESCA "/>
    <m/>
    <x v="1"/>
    <x v="1"/>
    <x v="0"/>
    <x v="0"/>
    <m/>
    <m/>
  </r>
  <r>
    <x v="0"/>
    <s v="MAG "/>
    <m/>
    <m/>
    <m/>
    <n v="4"/>
    <n v="246726"/>
    <s v="CENDEPESCA "/>
    <m/>
    <x v="1"/>
    <x v="1"/>
    <x v="0"/>
    <x v="0"/>
    <m/>
    <m/>
  </r>
  <r>
    <x v="0"/>
    <s v="MAG "/>
    <m/>
    <m/>
    <m/>
    <n v="5"/>
    <n v="164484"/>
    <s v="CENDEPESCA "/>
    <m/>
    <x v="1"/>
    <x v="1"/>
    <x v="0"/>
    <x v="0"/>
    <m/>
    <m/>
  </r>
  <r>
    <x v="0"/>
    <s v="MAG "/>
    <s v="Mejoramiento de la Producción y Extensión de la Tecnología de Acuicultura de Moluscos "/>
    <s v="Masificar la producción de semilla de ostras y conchas para atender demandas de productores; desarrollar técnica de producción de semilla de casco de burro, y consolidar el encadenamiento de la producción y comercialización de moluscos "/>
    <s v="Departamento: La Unión, Municipios: La Unión  y   Meanguera del Golfo "/>
    <n v="5"/>
    <n v="2668488"/>
    <s v="CENDEPESCA "/>
    <m/>
    <x v="2"/>
    <x v="2"/>
    <x v="0"/>
    <x v="0"/>
    <m/>
    <m/>
  </r>
  <r>
    <x v="0"/>
    <s v="CENTA "/>
    <s v="Producción intensiva de hortalizas en casas mallas."/>
    <s v="Se han construido 4 casas mallas para la producción hortícula en la producción hortícula en la cooperativa Los Ensayos "/>
    <s v="Jiquilisco"/>
    <n v="4"/>
    <n v="101882"/>
    <s v="MAG - CENTA "/>
    <n v="101882"/>
    <x v="3"/>
    <x v="3"/>
    <x v="0"/>
    <x v="0"/>
    <m/>
    <m/>
  </r>
  <r>
    <x v="0"/>
    <s v="CENTA "/>
    <s v="Mejora la productividad agricola en pequños agricultures en municipios de la zona occidental de El Salvador"/>
    <s v="Inventario de productores a ser beneficiados con el proyecto y construcción de la línea base "/>
    <s v="Jujutla "/>
    <n v="1"/>
    <n v="85000"/>
    <s v="CENTA "/>
    <n v="85000"/>
    <x v="4"/>
    <x v="4"/>
    <x v="0"/>
    <x v="0"/>
    <m/>
    <m/>
  </r>
  <r>
    <x v="0"/>
    <s v="CENTA "/>
    <s v="Cadena de Granos Básicos "/>
    <s v="Asistencia técnica, capacitación, transferencia de Tecnología en granos básicos a productores y productoras individuales, organizados en grupo de interés constituidos legalmente a nivel Nacional. "/>
    <s v="San Francisco Menéndez, Jujutla, Guaymango, Izalco, San Antonio del Monte, Cuisnahuat, Sonsonate, Sta. Isabel Ishuatan, Nahuilingo, Nahuizalco, San Julian, San Pedro Masahuat, San Luís Talpa, Santiago Nonualco, San Rafael Obrajuelo, San Pedro Nonualco, Tecoluca, Puerto de La Libertad, Chiltiupan, San José Villanueva, Jiquilisco, San Agustín, Ozatlan, Santa Elena,Usulután, Concepción Batres, Conchagua, La Unión, San Alejo, El Carmen. "/>
    <n v="1"/>
    <n v="670683"/>
    <s v="CENTA "/>
    <n v="1599321"/>
    <x v="5"/>
    <x v="0"/>
    <x v="0"/>
    <x v="0"/>
    <m/>
    <m/>
  </r>
  <r>
    <x v="0"/>
    <s v="CENTA "/>
    <m/>
    <m/>
    <m/>
    <n v="3"/>
    <n v="361137"/>
    <m/>
    <m/>
    <x v="1"/>
    <x v="0"/>
    <x v="0"/>
    <x v="0"/>
    <m/>
    <m/>
  </r>
  <r>
    <x v="0"/>
    <s v="CENTA "/>
    <m/>
    <m/>
    <m/>
    <n v="4"/>
    <n v="361137"/>
    <m/>
    <m/>
    <x v="1"/>
    <x v="0"/>
    <x v="0"/>
    <x v="0"/>
    <m/>
    <m/>
  </r>
  <r>
    <x v="0"/>
    <s v="CENTA "/>
    <s v="Cadena de Hortalizas "/>
    <s v="Asistencia Técnica, capacitación, transferencia de Tecnología en cultivos de hortalizas (tomate, chile, pepino, cebolla, ejote) a productores u productoras individuales, organizados en grupos de interés o constituidos legalmente a nivel Nacional. "/>
    <s v="Izalco, San Antonio del Monte, Caluco, Nahuizalco, Santo Domingo de Guzmán, Sam Pedro Masahuat, Olocuilta, Tecoluca, Jiquilisco, Usulután, Puerto El Triunfo, Santa Elena, Santa María, La Unión. "/>
    <s v="1,3,4,5"/>
    <m/>
    <s v="CENTA "/>
    <n v="303898"/>
    <x v="6"/>
    <x v="0"/>
    <x v="0"/>
    <x v="0"/>
    <m/>
    <m/>
  </r>
  <r>
    <x v="0"/>
    <s v="CENTA "/>
    <s v="Cadena de Frutas "/>
    <s v="Asistencia Técnica, capacitación, transferencia de Tecnología en cultivos frutales (Mango, Papaya,) cítricos, musaceas a productores y  productoras individuales, organizados en grupos de interés o constituidos legalmente a nivel Nacional. "/>
    <s v="Jujutla, Guaymango, Izalco, San Antonio del Monte, Acajutla, Sonsonate, San Pedro Masahuat, Santiago Nonualco, San Luís La Herradura, Tecoluca, Usulután, Concepciçón Batres, San Francisco Javier, San Dionisio, Jiquilisco, El Tránsito, Conchagua"/>
    <s v="1,3,4,5"/>
    <m/>
    <s v="CENTA "/>
    <n v="524295"/>
    <x v="7"/>
    <x v="5"/>
    <x v="0"/>
    <x v="0"/>
    <m/>
    <m/>
  </r>
  <r>
    <x v="0"/>
    <s v="CENTA "/>
    <s v="Cadena Cacao "/>
    <s v="Asistencia Técnica, capacitación, transferencia de Tecnología  a productores y  productoras individuales, organizados en grupos de interés o constituidos legalmente a nivel Nacional. "/>
    <s v="Izalco, Nahuilingo, San Pedro Nonualco, Concepción Batres."/>
    <s v="1,3,4"/>
    <m/>
    <s v="CENTA "/>
    <n v="148115"/>
    <x v="8"/>
    <x v="5"/>
    <x v="0"/>
    <x v="0"/>
    <m/>
    <m/>
  </r>
  <r>
    <x v="0"/>
    <s v="CENTA "/>
    <s v="Proyecto de Préstamo de Financiamiento al Plan de Agricultura Familiar - Componente Seguridad Alimentaria y Nutricional "/>
    <s v="Incrementar la disponibilidad acceso al consumo de los alimentod a través de la mejora de los sistemas de producción de las familias en condiciones de subsistencia del área rural."/>
    <s v="Guaymango, Caluco, Cuisnahuat, Santo Domingo de Guzmaán, San Agustin, Santa Catarina Masahuat, Santa Isabel Ishuatan, Chiltiupan, Comasagua, Jicalapa, Teotepeque, San Juan Tepezontes, Concepción Batres, Jucuarán, Ozatlán, San Francisco Javier, Santa Elena,Tecapan, San Jorge, Huizucar, Tamanique, Panchimalco, Rosario de Mora, Tecoluca, Conchagua, Zaragoza, Cuyultitán, El Rosario La Paz, San Juan Talpa, San Luís Talpa, San Pedro Masahuat, Zacatecoluca, EL Tránsito, Pasaquina. "/>
    <s v="1,2,3,4,5"/>
    <m/>
    <s v="CENTA "/>
    <n v="2206400"/>
    <x v="9"/>
    <x v="5"/>
    <x v="0"/>
    <x v="0"/>
    <m/>
    <m/>
  </r>
  <r>
    <x v="0"/>
    <s v="CENTA "/>
    <s v="&quot;Fortalecimiento de la Agricultura Familiar Aplicando Tecnologías ante el Cambio Climático en El Salvador. "/>
    <s v="El proyecto apoyará a familias productoras del programa PAF Seguridad Alimentaria, PAF Encadenamiento Productivo. "/>
    <s v="Componente 2  Fortalecimiento de la Cadena de granos Básicos. Todos los Municipios a nivel nacional "/>
    <n v="0"/>
    <m/>
    <s v="CENTA "/>
    <n v="1563541.46"/>
    <x v="10"/>
    <x v="6"/>
    <x v="0"/>
    <x v="0"/>
    <m/>
    <m/>
  </r>
  <r>
    <x v="0"/>
    <s v="DGEA "/>
    <s v="Fortalecimiento de las capacidades productivas de productores de hortalizas y frutas, en 46 municipios de 10 Departamentosatendidos por el programa PAF Cadenas Productivas del Plan de Agricultura Familiar "/>
    <s v="El proyecto tiene como finalidad contribuir a la puesta en marcha del Plan de Agricultura Familiar (PAF) MAG, su contribuición será especificamente dirigido al Programa PAF Cadenas Productivas, cuyo objetivos principal es la incorporación del segmento de agricultura familiar comercial, en sistemas estructurados que consoliden la oferta y satisfagan las eexigencias de la demanda. Para ello se incrementará la productividad y competitividad por medio de la creación  y fortalecimiento de capacidades técnicas y de gestión empresarial de los actores en casa eslabón de la cadena "/>
    <s v="SAN FRANCISCO_x000a_MELENDEZ"/>
    <s v="1,2,3,4,5"/>
    <m/>
    <s v="Dirección General de Economía Agropecuaria"/>
    <n v="1221339.1399999999"/>
    <x v="11"/>
    <x v="7"/>
    <x v="0"/>
    <x v="0"/>
    <m/>
    <m/>
  </r>
  <r>
    <x v="0"/>
    <s v="DGEA "/>
    <m/>
    <m/>
    <s v="CUYULTITAN"/>
    <m/>
    <m/>
    <m/>
    <n v="59471.77"/>
    <x v="12"/>
    <x v="7"/>
    <x v="0"/>
    <x v="0"/>
    <m/>
    <m/>
  </r>
  <r>
    <x v="0"/>
    <s v="DGEA "/>
    <m/>
    <m/>
    <s v="SAN LUIS TALPA"/>
    <m/>
    <m/>
    <m/>
    <n v="30814.98"/>
    <x v="13"/>
    <x v="7"/>
    <x v="0"/>
    <x v="0"/>
    <m/>
    <m/>
  </r>
  <r>
    <x v="0"/>
    <s v="DGEA "/>
    <m/>
    <m/>
    <s v="SAN PEDRO NONUALCO"/>
    <m/>
    <m/>
    <m/>
    <n v="59471.77"/>
    <x v="12"/>
    <x v="7"/>
    <x v="0"/>
    <x v="0"/>
    <m/>
    <m/>
  </r>
  <r>
    <x v="0"/>
    <s v="DGEA "/>
    <m/>
    <m/>
    <s v="ZACATECOLUCA"/>
    <m/>
    <m/>
    <m/>
    <n v="59471.75"/>
    <x v="14"/>
    <x v="7"/>
    <x v="0"/>
    <x v="0"/>
    <m/>
    <m/>
  </r>
  <r>
    <x v="0"/>
    <s v="DGEA "/>
    <m/>
    <m/>
    <s v="EL TRANSITO"/>
    <m/>
    <m/>
    <m/>
    <n v="15727.64"/>
    <x v="15"/>
    <x v="7"/>
    <x v="0"/>
    <x v="0"/>
    <m/>
    <m/>
  </r>
  <r>
    <x v="0"/>
    <s v="DGEA "/>
    <m/>
    <m/>
    <s v="TECOLUCA"/>
    <m/>
    <m/>
    <m/>
    <n v="102609.72"/>
    <x v="16"/>
    <x v="7"/>
    <x v="0"/>
    <x v="0"/>
    <m/>
    <m/>
  </r>
  <r>
    <x v="0"/>
    <s v="DGEA "/>
    <m/>
    <m/>
    <s v="IZALCO"/>
    <m/>
    <m/>
    <m/>
    <n v="57706.46"/>
    <x v="17"/>
    <x v="7"/>
    <x v="0"/>
    <x v="0"/>
    <m/>
    <m/>
  </r>
  <r>
    <x v="0"/>
    <s v="DGEA "/>
    <m/>
    <m/>
    <s v="NAHIULINGO"/>
    <m/>
    <m/>
    <m/>
    <n v="59471.77"/>
    <x v="12"/>
    <x v="7"/>
    <x v="0"/>
    <x v="0"/>
    <m/>
    <m/>
  </r>
  <r>
    <x v="0"/>
    <s v="DGEA "/>
    <m/>
    <m/>
    <s v="NAHUIZALCO"/>
    <m/>
    <m/>
    <m/>
    <n v="6362.92"/>
    <x v="18"/>
    <x v="7"/>
    <x v="0"/>
    <x v="0"/>
    <m/>
    <m/>
  </r>
  <r>
    <x v="0"/>
    <s v="DGEA "/>
    <m/>
    <m/>
    <s v="SAN ANTONIO _x000a_DEL MONTE"/>
    <m/>
    <m/>
    <m/>
    <n v="6362.92"/>
    <x v="18"/>
    <x v="7"/>
    <x v="0"/>
    <x v="0"/>
    <m/>
    <m/>
  </r>
  <r>
    <x v="0"/>
    <s v="DGEA "/>
    <m/>
    <m/>
    <s v="SONSONATE"/>
    <m/>
    <m/>
    <m/>
    <n v="45902.400000000001"/>
    <x v="19"/>
    <x v="7"/>
    <x v="0"/>
    <x v="0"/>
    <m/>
    <m/>
  </r>
  <r>
    <x v="0"/>
    <s v="DGEA "/>
    <m/>
    <m/>
    <s v="CONCEPCION BATRES"/>
    <m/>
    <m/>
    <m/>
    <n v="15727.63"/>
    <x v="20"/>
    <x v="7"/>
    <x v="0"/>
    <x v="0"/>
    <m/>
    <m/>
  </r>
  <r>
    <x v="0"/>
    <s v="DGEA "/>
    <m/>
    <m/>
    <s v="Jiquilisco"/>
    <m/>
    <m/>
    <m/>
    <n v="80597.09"/>
    <x v="21"/>
    <x v="7"/>
    <x v="0"/>
    <x v="0"/>
    <m/>
    <m/>
  </r>
  <r>
    <x v="0"/>
    <s v="DGEA "/>
    <m/>
    <m/>
    <s v="USULUTAN"/>
    <m/>
    <m/>
    <m/>
    <n v="27531.75"/>
    <x v="22"/>
    <x v="7"/>
    <x v="0"/>
    <x v="0"/>
    <m/>
    <m/>
  </r>
  <r>
    <x v="0"/>
    <s v="DGEA "/>
    <s v="Fomento a la producción y productividad en los cultivos de granos básicos, hortalizas y frutales en El Salvador"/>
    <s v="Incremento de la competitividad del sector agropecuario y pesquero mediante el establecimiento de equipo y aprovechamiento de información agroclimática"/>
    <s v="San Francisco Melendez"/>
    <m/>
    <m/>
    <s v="Dirección General de Economía Agropecuaria"/>
    <n v="33612.1"/>
    <x v="23"/>
    <x v="8"/>
    <x v="0"/>
    <x v="0"/>
    <m/>
    <m/>
  </r>
  <r>
    <x v="0"/>
    <s v="DGEA "/>
    <m/>
    <m/>
    <s v="La Libertad"/>
    <m/>
    <m/>
    <m/>
    <n v="15161.68"/>
    <x v="24"/>
    <x v="8"/>
    <x v="0"/>
    <x v="0"/>
    <m/>
    <m/>
  </r>
  <r>
    <x v="0"/>
    <s v="DGEA "/>
    <m/>
    <m/>
    <s v="Acajutla"/>
    <m/>
    <m/>
    <m/>
    <n v="48773.760000000002"/>
    <x v="25"/>
    <x v="8"/>
    <x v="0"/>
    <x v="0"/>
    <m/>
    <m/>
  </r>
  <r>
    <x v="0"/>
    <s v="DGEA "/>
    <m/>
    <m/>
    <s v="San Juan Tepezontes"/>
    <m/>
    <m/>
    <m/>
    <n v="7767.38"/>
    <x v="26"/>
    <x v="8"/>
    <x v="0"/>
    <x v="0"/>
    <m/>
    <m/>
  </r>
  <r>
    <x v="0"/>
    <s v="DGEA "/>
    <m/>
    <m/>
    <s v="Usulután"/>
    <m/>
    <m/>
    <m/>
    <n v="22929.07"/>
    <x v="27"/>
    <x v="8"/>
    <x v="0"/>
    <x v="0"/>
    <m/>
    <m/>
  </r>
  <r>
    <x v="0"/>
    <s v="DGEA "/>
    <m/>
    <m/>
    <s v="TECOLUCA"/>
    <m/>
    <m/>
    <m/>
    <n v="1534.78"/>
    <x v="28"/>
    <x v="8"/>
    <x v="0"/>
    <x v="0"/>
    <m/>
    <m/>
  </r>
  <r>
    <x v="0"/>
    <s v="DGEA "/>
    <m/>
    <m/>
    <s v="La Unión"/>
    <m/>
    <m/>
    <m/>
    <n v="22929.07"/>
    <x v="27"/>
    <x v="8"/>
    <x v="0"/>
    <x v="0"/>
    <m/>
    <m/>
  </r>
  <r>
    <x v="0"/>
    <s v="DGEA "/>
    <s v="ENTREGA DE PAQUETES AGRICOLAS A PRODUCTORES DE PROGRAMA 1 DEL PLAN DE AGRICULTURA FAMILIAR (SEGURIDAD ALIMENTARIA)"/>
    <s v="Entrega de 100 libras de fertilizantes 16-20-0 y 22 lbde semilla de maiz, adicionalmente se entregarán 20 lb de semilla de frijol (pendiente aprobacion)"/>
    <s v="APANECA"/>
    <m/>
    <m/>
    <s v="Dirección General de Economía Agropecuaria"/>
    <n v="18390"/>
    <x v="29"/>
    <x v="8"/>
    <x v="0"/>
    <x v="0"/>
    <m/>
    <m/>
  </r>
  <r>
    <x v="0"/>
    <s v="DGEA "/>
    <m/>
    <m/>
    <s v="GUAYMANGO"/>
    <m/>
    <m/>
    <m/>
    <n v="297870"/>
    <x v="30"/>
    <x v="8"/>
    <x v="0"/>
    <x v="0"/>
    <m/>
    <m/>
  </r>
  <r>
    <x v="0"/>
    <s v="DGEA "/>
    <m/>
    <m/>
    <s v="JUJUTLA"/>
    <m/>
    <m/>
    <m/>
    <n v="303810"/>
    <x v="31"/>
    <x v="8"/>
    <x v="0"/>
    <x v="0"/>
    <m/>
    <m/>
  </r>
  <r>
    <x v="0"/>
    <s v="DGEA "/>
    <m/>
    <m/>
    <s v="SAN FRANCISCO"/>
    <m/>
    <m/>
    <m/>
    <n v="418950"/>
    <x v="32"/>
    <x v="8"/>
    <x v="0"/>
    <x v="0"/>
    <m/>
    <m/>
  </r>
  <r>
    <x v="0"/>
    <s v="DGEA "/>
    <m/>
    <m/>
    <s v="SAN PEDRO PUXTLA"/>
    <m/>
    <m/>
    <m/>
    <n v="104010"/>
    <x v="33"/>
    <x v="8"/>
    <x v="0"/>
    <x v="0"/>
    <m/>
    <m/>
  </r>
  <r>
    <x v="0"/>
    <s v="DGEA "/>
    <m/>
    <m/>
    <s v="CHILTIUPAN"/>
    <m/>
    <m/>
    <m/>
    <n v="84390"/>
    <x v="34"/>
    <x v="8"/>
    <x v="0"/>
    <x v="0"/>
    <m/>
    <m/>
  </r>
  <r>
    <x v="0"/>
    <s v="DGEA "/>
    <m/>
    <m/>
    <s v="COMASAGUA"/>
    <m/>
    <m/>
    <m/>
    <n v="103170"/>
    <x v="35"/>
    <x v="8"/>
    <x v="0"/>
    <x v="0"/>
    <m/>
    <m/>
  </r>
  <r>
    <x v="0"/>
    <s v="DGEA "/>
    <m/>
    <m/>
    <s v="HUIZUCAR"/>
    <m/>
    <m/>
    <m/>
    <n v="148650"/>
    <x v="36"/>
    <x v="8"/>
    <x v="0"/>
    <x v="0"/>
    <m/>
    <m/>
  </r>
  <r>
    <x v="0"/>
    <s v="DGEA "/>
    <m/>
    <m/>
    <s v="JUCALAPA"/>
    <m/>
    <m/>
    <m/>
    <n v="124980"/>
    <x v="37"/>
    <x v="8"/>
    <x v="0"/>
    <x v="0"/>
    <m/>
    <m/>
  </r>
  <r>
    <x v="0"/>
    <s v="DGEA "/>
    <m/>
    <m/>
    <s v="LA LIBERTAD"/>
    <m/>
    <m/>
    <m/>
    <n v="243570"/>
    <x v="38"/>
    <x v="8"/>
    <x v="0"/>
    <x v="0"/>
    <m/>
    <m/>
  </r>
  <r>
    <x v="0"/>
    <s v="DGEA "/>
    <m/>
    <m/>
    <s v="SAN JOSE VILLANUEVA"/>
    <m/>
    <m/>
    <m/>
    <n v="85800"/>
    <x v="39"/>
    <x v="8"/>
    <x v="0"/>
    <x v="0"/>
    <m/>
    <m/>
  </r>
  <r>
    <x v="0"/>
    <s v="DGEA "/>
    <m/>
    <m/>
    <s v="TAMANIQUE"/>
    <m/>
    <m/>
    <m/>
    <n v="141510"/>
    <x v="40"/>
    <x v="8"/>
    <x v="0"/>
    <x v="0"/>
    <m/>
    <m/>
  </r>
  <r>
    <x v="0"/>
    <s v="DGEA "/>
    <m/>
    <m/>
    <s v="TEOTEPEQUE"/>
    <m/>
    <m/>
    <m/>
    <n v="146250"/>
    <x v="41"/>
    <x v="8"/>
    <x v="0"/>
    <x v="0"/>
    <m/>
    <m/>
  </r>
  <r>
    <x v="0"/>
    <s v="DGEA "/>
    <m/>
    <m/>
    <s v="ZARAGOZA"/>
    <m/>
    <m/>
    <m/>
    <n v="83730"/>
    <x v="42"/>
    <x v="8"/>
    <x v="0"/>
    <x v="0"/>
    <m/>
    <m/>
  </r>
  <r>
    <x v="0"/>
    <s v="DGEA "/>
    <m/>
    <m/>
    <s v="CUYULTITAN"/>
    <m/>
    <m/>
    <m/>
    <n v="47010"/>
    <x v="43"/>
    <x v="8"/>
    <x v="0"/>
    <x v="0"/>
    <m/>
    <m/>
  </r>
  <r>
    <x v="0"/>
    <s v="DGEA "/>
    <m/>
    <m/>
    <s v="OLOCUILTA"/>
    <m/>
    <m/>
    <m/>
    <n v="100620"/>
    <x v="44"/>
    <x v="8"/>
    <x v="0"/>
    <x v="0"/>
    <m/>
    <m/>
  </r>
  <r>
    <x v="0"/>
    <s v="DGEA "/>
    <m/>
    <m/>
    <s v="SAN ANTONIO "/>
    <m/>
    <m/>
    <m/>
    <n v="37950"/>
    <x v="45"/>
    <x v="8"/>
    <x v="0"/>
    <x v="0"/>
    <m/>
    <m/>
  </r>
  <r>
    <x v="0"/>
    <s v="DGEA "/>
    <m/>
    <m/>
    <s v="SAN FRANCISCO"/>
    <m/>
    <m/>
    <m/>
    <n v="24060"/>
    <x v="46"/>
    <x v="8"/>
    <x v="0"/>
    <x v="0"/>
    <m/>
    <m/>
  </r>
  <r>
    <x v="0"/>
    <s v="DGEA "/>
    <m/>
    <m/>
    <s v="SAN JUAN NONUALCO"/>
    <m/>
    <m/>
    <m/>
    <n v="91830"/>
    <x v="47"/>
    <x v="8"/>
    <x v="0"/>
    <x v="0"/>
    <m/>
    <m/>
  </r>
  <r>
    <x v="0"/>
    <s v="DGEA "/>
    <m/>
    <m/>
    <s v="SAN JUAN TALPA"/>
    <m/>
    <m/>
    <m/>
    <n v="33930"/>
    <x v="48"/>
    <x v="8"/>
    <x v="0"/>
    <x v="0"/>
    <m/>
    <m/>
  </r>
  <r>
    <x v="0"/>
    <s v="DGEA "/>
    <m/>
    <m/>
    <s v="SAN JUAN TEPEZONTES"/>
    <m/>
    <m/>
    <m/>
    <n v="40680"/>
    <x v="49"/>
    <x v="8"/>
    <x v="0"/>
    <x v="0"/>
    <m/>
    <m/>
  </r>
  <r>
    <x v="0"/>
    <s v="DGEA "/>
    <m/>
    <m/>
    <s v="SAN LUIS LA HERRADURA"/>
    <m/>
    <m/>
    <m/>
    <n v="86010"/>
    <x v="50"/>
    <x v="8"/>
    <x v="0"/>
    <x v="0"/>
    <m/>
    <m/>
  </r>
  <r>
    <x v="0"/>
    <s v="DGEA "/>
    <m/>
    <m/>
    <s v="SAN LUIS TALPA"/>
    <m/>
    <m/>
    <m/>
    <n v="203010"/>
    <x v="51"/>
    <x v="8"/>
    <x v="0"/>
    <x v="0"/>
    <m/>
    <m/>
  </r>
  <r>
    <x v="0"/>
    <s v="DGEA "/>
    <m/>
    <m/>
    <s v="SAN MIGUEL TEPEZONTES"/>
    <m/>
    <m/>
    <m/>
    <n v="40020"/>
    <x v="52"/>
    <x v="8"/>
    <x v="0"/>
    <x v="0"/>
    <m/>
    <m/>
  </r>
  <r>
    <x v="0"/>
    <s v="DGEA "/>
    <m/>
    <m/>
    <s v="SAN PEDRO MASAHUAT"/>
    <m/>
    <m/>
    <m/>
    <n v="160680"/>
    <x v="53"/>
    <x v="8"/>
    <x v="0"/>
    <x v="0"/>
    <m/>
    <m/>
  </r>
  <r>
    <x v="0"/>
    <s v="DGEA "/>
    <m/>
    <m/>
    <s v="SAN PEDRO NONUALCO"/>
    <m/>
    <m/>
    <m/>
    <n v="81150"/>
    <x v="54"/>
    <x v="8"/>
    <x v="0"/>
    <x v="0"/>
    <m/>
    <m/>
  </r>
  <r>
    <x v="0"/>
    <s v="DGEA "/>
    <m/>
    <m/>
    <s v="SAN RAFAEL OBRAJUELO"/>
    <m/>
    <m/>
    <m/>
    <n v="29790"/>
    <x v="55"/>
    <x v="8"/>
    <x v="0"/>
    <x v="0"/>
    <m/>
    <m/>
  </r>
  <r>
    <x v="0"/>
    <s v="DGEA "/>
    <m/>
    <m/>
    <s v="SANTIAGO NONUALCO"/>
    <m/>
    <m/>
    <m/>
    <n v="245160"/>
    <x v="56"/>
    <x v="8"/>
    <x v="0"/>
    <x v="0"/>
    <m/>
    <m/>
  </r>
  <r>
    <x v="0"/>
    <s v="DGEA "/>
    <m/>
    <m/>
    <s v="TAPALHUACA"/>
    <m/>
    <m/>
    <m/>
    <n v="40770"/>
    <x v="57"/>
    <x v="8"/>
    <x v="0"/>
    <x v="0"/>
    <m/>
    <m/>
  </r>
  <r>
    <x v="0"/>
    <s v="DGEA "/>
    <m/>
    <m/>
    <s v="ZACATECOLUCA"/>
    <m/>
    <m/>
    <m/>
    <n v="374820"/>
    <x v="58"/>
    <x v="8"/>
    <x v="0"/>
    <x v="0"/>
    <m/>
    <m/>
  </r>
  <r>
    <x v="0"/>
    <s v="DGEA "/>
    <m/>
    <m/>
    <s v="CONCHAGUA"/>
    <m/>
    <m/>
    <m/>
    <n v="377610"/>
    <x v="59"/>
    <x v="8"/>
    <x v="0"/>
    <x v="0"/>
    <m/>
    <m/>
  </r>
  <r>
    <x v="0"/>
    <s v="DGEA "/>
    <m/>
    <m/>
    <s v="EL CARMEN"/>
    <m/>
    <m/>
    <m/>
    <n v="136440"/>
    <x v="60"/>
    <x v="8"/>
    <x v="0"/>
    <x v="0"/>
    <m/>
    <m/>
  </r>
  <r>
    <x v="0"/>
    <s v="DGEA "/>
    <m/>
    <m/>
    <s v="INTUPUCA"/>
    <m/>
    <m/>
    <m/>
    <n v="92160"/>
    <x v="61"/>
    <x v="8"/>
    <x v="0"/>
    <x v="0"/>
    <m/>
    <m/>
  </r>
  <r>
    <x v="0"/>
    <s v="DGEA "/>
    <m/>
    <m/>
    <s v="LA UNION"/>
    <m/>
    <m/>
    <m/>
    <n v="184200"/>
    <x v="62"/>
    <x v="8"/>
    <x v="0"/>
    <x v="0"/>
    <m/>
    <m/>
  </r>
  <r>
    <x v="0"/>
    <s v="DGEA "/>
    <m/>
    <m/>
    <s v="MEANGUERA DEL GOLFO"/>
    <m/>
    <m/>
    <m/>
    <n v="47220"/>
    <x v="63"/>
    <x v="8"/>
    <x v="0"/>
    <x v="0"/>
    <m/>
    <m/>
  </r>
  <r>
    <x v="0"/>
    <s v="DGEA "/>
    <m/>
    <m/>
    <s v="PASAQUINA"/>
    <m/>
    <m/>
    <m/>
    <n v="84210"/>
    <x v="64"/>
    <x v="8"/>
    <x v="0"/>
    <x v="0"/>
    <m/>
    <m/>
  </r>
  <r>
    <x v="0"/>
    <s v="DGEA "/>
    <m/>
    <m/>
    <s v="SAN ALEJO"/>
    <m/>
    <m/>
    <m/>
    <n v="260010"/>
    <x v="65"/>
    <x v="8"/>
    <x v="0"/>
    <x v="0"/>
    <m/>
    <m/>
  </r>
  <r>
    <x v="0"/>
    <s v="DGEA "/>
    <m/>
    <m/>
    <s v="SANTA ROSA DE LIMA"/>
    <m/>
    <m/>
    <m/>
    <n v="138120"/>
    <x v="66"/>
    <x v="8"/>
    <x v="0"/>
    <x v="0"/>
    <m/>
    <m/>
  </r>
  <r>
    <x v="0"/>
    <s v="DGEA "/>
    <m/>
    <m/>
    <s v="CHIRILAGUA"/>
    <m/>
    <m/>
    <m/>
    <n v="288540"/>
    <x v="67"/>
    <x v="8"/>
    <x v="0"/>
    <x v="0"/>
    <m/>
    <m/>
  </r>
  <r>
    <x v="0"/>
    <s v="DGEA "/>
    <m/>
    <m/>
    <s v="EL TRANSITO"/>
    <m/>
    <m/>
    <m/>
    <n v="133230"/>
    <x v="68"/>
    <x v="8"/>
    <x v="0"/>
    <x v="0"/>
    <m/>
    <m/>
  </r>
  <r>
    <x v="0"/>
    <s v="DGEA "/>
    <m/>
    <m/>
    <s v="SAN JORGE"/>
    <m/>
    <m/>
    <m/>
    <n v="157410"/>
    <x v="69"/>
    <x v="8"/>
    <x v="0"/>
    <x v="0"/>
    <m/>
    <m/>
  </r>
  <r>
    <x v="0"/>
    <s v="DGEA "/>
    <m/>
    <m/>
    <s v="SAN RAFAEL ORIENTE"/>
    <m/>
    <m/>
    <m/>
    <n v="109770"/>
    <x v="70"/>
    <x v="8"/>
    <x v="0"/>
    <x v="0"/>
    <m/>
    <m/>
  </r>
  <r>
    <x v="0"/>
    <s v="DGEA "/>
    <m/>
    <m/>
    <s v="PANCHIMALCO"/>
    <m/>
    <m/>
    <m/>
    <n v="212130"/>
    <x v="71"/>
    <x v="8"/>
    <x v="0"/>
    <x v="0"/>
    <m/>
    <m/>
  </r>
  <r>
    <x v="0"/>
    <s v="DGEA "/>
    <m/>
    <m/>
    <s v="ROSARIO DE MORA"/>
    <m/>
    <m/>
    <m/>
    <n v="125130"/>
    <x v="72"/>
    <x v="8"/>
    <x v="0"/>
    <x v="0"/>
    <m/>
    <m/>
  </r>
  <r>
    <x v="0"/>
    <s v="DGEA "/>
    <m/>
    <m/>
    <s v="TECOLUCA"/>
    <m/>
    <m/>
    <m/>
    <n v="309420"/>
    <x v="73"/>
    <x v="8"/>
    <x v="0"/>
    <x v="0"/>
    <m/>
    <m/>
  </r>
  <r>
    <x v="0"/>
    <s v="DGEA "/>
    <m/>
    <m/>
    <s v="ACAJUTLA"/>
    <m/>
    <m/>
    <m/>
    <n v="356220"/>
    <x v="74"/>
    <x v="8"/>
    <x v="0"/>
    <x v="0"/>
    <m/>
    <m/>
  </r>
  <r>
    <x v="0"/>
    <s v="DGEA "/>
    <m/>
    <m/>
    <s v="CALUCO"/>
    <m/>
    <m/>
    <m/>
    <n v="102390"/>
    <x v="75"/>
    <x v="8"/>
    <x v="0"/>
    <x v="0"/>
    <m/>
    <m/>
  </r>
  <r>
    <x v="0"/>
    <s v="DGEA "/>
    <m/>
    <m/>
    <s v="CUISNAHUAT"/>
    <m/>
    <m/>
    <m/>
    <n v="157200"/>
    <x v="76"/>
    <x v="8"/>
    <x v="0"/>
    <x v="0"/>
    <m/>
    <m/>
  </r>
  <r>
    <x v="0"/>
    <s v="DGEA "/>
    <m/>
    <m/>
    <s v="IZALCO"/>
    <m/>
    <m/>
    <m/>
    <n v="475680"/>
    <x v="77"/>
    <x v="8"/>
    <x v="0"/>
    <x v="0"/>
    <m/>
    <m/>
  </r>
  <r>
    <x v="0"/>
    <s v="DGEA "/>
    <m/>
    <m/>
    <s v="JUAYUA"/>
    <m/>
    <m/>
    <m/>
    <n v="30000"/>
    <x v="78"/>
    <x v="8"/>
    <x v="0"/>
    <x v="0"/>
    <m/>
    <m/>
  </r>
  <r>
    <x v="0"/>
    <s v="DGEA "/>
    <m/>
    <m/>
    <s v="NAHUIZALCO"/>
    <m/>
    <m/>
    <m/>
    <n v="248670"/>
    <x v="79"/>
    <x v="8"/>
    <x v="0"/>
    <x v="0"/>
    <m/>
    <m/>
  </r>
  <r>
    <x v="0"/>
    <s v="DGEA "/>
    <m/>
    <m/>
    <s v="NAHIULINGO"/>
    <m/>
    <m/>
    <m/>
    <n v="102210"/>
    <x v="80"/>
    <x v="8"/>
    <x v="0"/>
    <x v="0"/>
    <m/>
    <m/>
  </r>
  <r>
    <x v="0"/>
    <s v="DGEA "/>
    <m/>
    <m/>
    <s v="SALCOATITAN"/>
    <m/>
    <m/>
    <m/>
    <n v="14430"/>
    <x v="81"/>
    <x v="8"/>
    <x v="0"/>
    <x v="0"/>
    <m/>
    <m/>
  </r>
  <r>
    <x v="0"/>
    <s v="DGEA "/>
    <m/>
    <m/>
    <s v="SAN ANTONIO DEL"/>
    <m/>
    <m/>
    <m/>
    <n v="89160"/>
    <x v="82"/>
    <x v="8"/>
    <x v="0"/>
    <x v="0"/>
    <m/>
    <m/>
  </r>
  <r>
    <x v="0"/>
    <s v="DGEA "/>
    <m/>
    <m/>
    <s v="SAN JULIAN"/>
    <m/>
    <m/>
    <m/>
    <n v="192840"/>
    <x v="83"/>
    <x v="8"/>
    <x v="0"/>
    <x v="0"/>
    <m/>
    <m/>
  </r>
  <r>
    <x v="0"/>
    <s v="DGEA "/>
    <m/>
    <m/>
    <s v="SANTA CATARINA"/>
    <m/>
    <m/>
    <m/>
    <n v="115170"/>
    <x v="84"/>
    <x v="8"/>
    <x v="0"/>
    <x v="0"/>
    <m/>
    <m/>
  </r>
  <r>
    <x v="0"/>
    <s v="DGEA "/>
    <m/>
    <m/>
    <s v="SANTA ISABEL ISAHUATAN"/>
    <m/>
    <m/>
    <m/>
    <n v="144600"/>
    <x v="85"/>
    <x v="8"/>
    <x v="0"/>
    <x v="0"/>
    <m/>
    <m/>
  </r>
  <r>
    <x v="0"/>
    <s v="DGEA "/>
    <m/>
    <m/>
    <s v="SANTO DOMINGO DE"/>
    <m/>
    <m/>
    <m/>
    <n v="75540"/>
    <x v="86"/>
    <x v="8"/>
    <x v="0"/>
    <x v="0"/>
    <m/>
    <m/>
  </r>
  <r>
    <x v="0"/>
    <s v="DGEA "/>
    <m/>
    <m/>
    <s v="SONSONATE"/>
    <m/>
    <m/>
    <m/>
    <n v="278490"/>
    <x v="87"/>
    <x v="8"/>
    <x v="0"/>
    <x v="0"/>
    <m/>
    <m/>
  </r>
  <r>
    <x v="0"/>
    <s v="DGEA "/>
    <m/>
    <m/>
    <s v="SONZACATE"/>
    <m/>
    <m/>
    <m/>
    <n v="22890"/>
    <x v="88"/>
    <x v="8"/>
    <x v="0"/>
    <x v="0"/>
    <m/>
    <m/>
  </r>
  <r>
    <x v="0"/>
    <s v="DGEA "/>
    <m/>
    <m/>
    <s v="CALIFORNIA"/>
    <m/>
    <m/>
    <m/>
    <n v="15030"/>
    <x v="89"/>
    <x v="8"/>
    <x v="0"/>
    <x v="0"/>
    <m/>
    <m/>
  </r>
  <r>
    <x v="0"/>
    <s v="DGEA "/>
    <m/>
    <m/>
    <s v="CONCEPCION BATRES"/>
    <m/>
    <m/>
    <m/>
    <n v="96270"/>
    <x v="90"/>
    <x v="8"/>
    <x v="0"/>
    <x v="0"/>
    <m/>
    <m/>
  </r>
  <r>
    <x v="0"/>
    <s v="DGEA "/>
    <m/>
    <m/>
    <s v="EREGUAYQUIN"/>
    <m/>
    <m/>
    <m/>
    <n v="31890"/>
    <x v="91"/>
    <x v="8"/>
    <x v="0"/>
    <x v="0"/>
    <m/>
    <m/>
  </r>
  <r>
    <x v="0"/>
    <s v="DGEA "/>
    <m/>
    <m/>
    <s v="JIQUILISCO"/>
    <m/>
    <m/>
    <m/>
    <n v="467130"/>
    <x v="92"/>
    <x v="8"/>
    <x v="0"/>
    <x v="0"/>
    <m/>
    <m/>
  </r>
  <r>
    <x v="0"/>
    <s v="DGEA "/>
    <m/>
    <m/>
    <s v="JUCUARAN"/>
    <m/>
    <m/>
    <m/>
    <n v="186210"/>
    <x v="93"/>
    <x v="8"/>
    <x v="0"/>
    <x v="0"/>
    <m/>
    <m/>
  </r>
  <r>
    <x v="0"/>
    <s v="DGEA "/>
    <m/>
    <m/>
    <s v="OZATLAN"/>
    <m/>
    <m/>
    <m/>
    <n v="132870"/>
    <x v="94"/>
    <x v="8"/>
    <x v="0"/>
    <x v="0"/>
    <m/>
    <m/>
  </r>
  <r>
    <x v="0"/>
    <s v="DGEA "/>
    <m/>
    <m/>
    <s v="PUERTO EL TRIUNFO"/>
    <m/>
    <m/>
    <m/>
    <n v="83490"/>
    <x v="95"/>
    <x v="8"/>
    <x v="0"/>
    <x v="0"/>
    <m/>
    <m/>
  </r>
  <r>
    <x v="0"/>
    <s v="DGEA "/>
    <m/>
    <m/>
    <s v="SAN AGUSTIN"/>
    <m/>
    <m/>
    <m/>
    <n v="100320"/>
    <x v="96"/>
    <x v="8"/>
    <x v="0"/>
    <x v="0"/>
    <m/>
    <m/>
  </r>
  <r>
    <x v="0"/>
    <s v="DGEA "/>
    <m/>
    <m/>
    <s v="SAN DIONISIO"/>
    <m/>
    <m/>
    <m/>
    <n v="27000"/>
    <x v="97"/>
    <x v="8"/>
    <x v="0"/>
    <x v="0"/>
    <m/>
    <m/>
  </r>
  <r>
    <x v="0"/>
    <s v="DGEA "/>
    <m/>
    <m/>
    <s v="SAN FRANCISCO JAVIER"/>
    <m/>
    <m/>
    <m/>
    <n v="94890"/>
    <x v="98"/>
    <x v="8"/>
    <x v="0"/>
    <x v="0"/>
    <m/>
    <m/>
  </r>
  <r>
    <x v="0"/>
    <s v="DGEA "/>
    <m/>
    <m/>
    <s v="SANTA ELENA"/>
    <m/>
    <m/>
    <m/>
    <n v="157830"/>
    <x v="99"/>
    <x v="8"/>
    <x v="0"/>
    <x v="0"/>
    <m/>
    <m/>
  </r>
  <r>
    <x v="0"/>
    <s v="DGEA "/>
    <m/>
    <m/>
    <s v="SANTA MARIA"/>
    <m/>
    <m/>
    <m/>
    <n v="44970"/>
    <x v="100"/>
    <x v="8"/>
    <x v="0"/>
    <x v="0"/>
    <m/>
    <m/>
  </r>
  <r>
    <x v="0"/>
    <s v="DGEA "/>
    <m/>
    <m/>
    <s v="TEPECAN"/>
    <m/>
    <m/>
    <m/>
    <n v="83970"/>
    <x v="101"/>
    <x v="8"/>
    <x v="0"/>
    <x v="0"/>
    <m/>
    <m/>
  </r>
  <r>
    <x v="0"/>
    <s v="DGEA "/>
    <m/>
    <m/>
    <s v="USULUTAN"/>
    <m/>
    <m/>
    <m/>
    <n v="210240"/>
    <x v="102"/>
    <x v="8"/>
    <x v="0"/>
    <x v="0"/>
    <m/>
    <m/>
  </r>
  <r>
    <x v="0"/>
    <s v="DGEA "/>
    <s v="Asistir los CAS en temas de interes para lograr su desarrollo dentro del encadenamiento productiva de los territorios"/>
    <s v="Apoyar en el area de desarrollo agroempresarial a la cadena Acuicola"/>
    <s v="Jiquilisco"/>
    <n v="4"/>
    <m/>
    <s v="Dirección General de Economía Agropecuaria"/>
    <n v="11980"/>
    <x v="103"/>
    <x v="0"/>
    <x v="0"/>
    <x v="0"/>
    <m/>
    <m/>
  </r>
  <r>
    <x v="0"/>
    <s v="DGEA "/>
    <m/>
    <s v="Apoyar en el area de desarrollo agroempresarial a la cadena de Granos basicos y Hortalizas"/>
    <s v="Usulután"/>
    <n v="4"/>
    <m/>
    <m/>
    <n v="23960"/>
    <x v="104"/>
    <x v="0"/>
    <x v="0"/>
    <x v="0"/>
    <m/>
    <m/>
  </r>
  <r>
    <x v="0"/>
    <s v="DGSV/MAG"/>
    <s v="Realizar capacitacionessobre aspectos de inocuidad"/>
    <s v="Mediante charlas y amterial didactico, se enseña a la población meta, aspectos importantes relacionados con la inocuidad de los alimetos (Buenas Practicas Agricolas, Buenas Practicas de Manufactura, Almacenamiento Apropiado de Granos Basicos, etc.)"/>
    <s v="San Pedro Puxtla"/>
    <n v="1"/>
    <m/>
    <s v="Direccion General de Sanidad Vegetal"/>
    <s v="US$73,541 por año"/>
    <x v="105"/>
    <x v="9"/>
    <x v="0"/>
    <x v="0"/>
    <m/>
    <m/>
  </r>
  <r>
    <x v="0"/>
    <s v="DGSV/MAG"/>
    <m/>
    <m/>
    <s v="Caluco"/>
    <n v="1"/>
    <m/>
    <m/>
    <m/>
    <x v="1"/>
    <x v="1"/>
    <x v="0"/>
    <x v="0"/>
    <m/>
    <m/>
  </r>
  <r>
    <x v="0"/>
    <s v="DGSV/MAG"/>
    <m/>
    <m/>
    <s v="La Libertad"/>
    <n v="3"/>
    <m/>
    <m/>
    <m/>
    <x v="1"/>
    <x v="1"/>
    <x v="0"/>
    <x v="0"/>
    <m/>
    <m/>
  </r>
  <r>
    <x v="0"/>
    <s v="DGSV/MAG"/>
    <m/>
    <m/>
    <s v="Rosario de Mora"/>
    <n v="3"/>
    <m/>
    <m/>
    <m/>
    <x v="1"/>
    <x v="1"/>
    <x v="0"/>
    <x v="0"/>
    <m/>
    <m/>
  </r>
  <r>
    <x v="0"/>
    <s v="DGSV/MAG"/>
    <m/>
    <m/>
    <s v="San Luis La Herradura"/>
    <n v="3"/>
    <m/>
    <m/>
    <m/>
    <x v="1"/>
    <x v="1"/>
    <x v="0"/>
    <x v="0"/>
    <m/>
    <m/>
  </r>
  <r>
    <x v="0"/>
    <s v="DGSV/MAG"/>
    <m/>
    <m/>
    <s v="Tecoluca"/>
    <n v="4"/>
    <m/>
    <m/>
    <m/>
    <x v="1"/>
    <x v="1"/>
    <x v="0"/>
    <x v="0"/>
    <m/>
    <m/>
  </r>
  <r>
    <x v="0"/>
    <s v="DGSV/MAG"/>
    <m/>
    <m/>
    <s v="Puerto El Triunfo"/>
    <n v="4"/>
    <m/>
    <m/>
    <m/>
    <x v="1"/>
    <x v="1"/>
    <x v="0"/>
    <x v="0"/>
    <m/>
    <m/>
  </r>
  <r>
    <x v="0"/>
    <s v="DGSV/MAG"/>
    <m/>
    <m/>
    <s v="Chirilagua"/>
    <n v="4"/>
    <m/>
    <m/>
    <m/>
    <x v="1"/>
    <x v="1"/>
    <x v="0"/>
    <x v="0"/>
    <m/>
    <m/>
  </r>
  <r>
    <x v="0"/>
    <s v="DGSV/MAG"/>
    <m/>
    <m/>
    <s v="Pasaquina"/>
    <n v="5"/>
    <m/>
    <m/>
    <m/>
    <x v="1"/>
    <x v="1"/>
    <x v="0"/>
    <x v="0"/>
    <m/>
    <m/>
  </r>
  <r>
    <x v="1"/>
    <s v="MINED"/>
    <s v="Centro de investigacion para la ciencia e innovación tecnología y una acuicultura sostenible OPTIMIZACION DEL ESQUEMA PRODUCTIVO DE CAMARON A TRAVES DE UN MODELO FORMATIVO DE ICT (INNOVACION, CIENCIA Y TECNOLIGIA)"/>
    <s v="Experiencia piloto para la optimizacion del sistema tradicional de cultivo de camarón con un enfoque de fortalecimiento de la fuerza laboral y de asistencia tecnica en la Bahía de Jiquilisco"/>
    <s v="Jiquilisco"/>
    <n v="4"/>
    <m/>
    <s v="Viceministerio de CT/MINED"/>
    <n v="6900000"/>
    <x v="1"/>
    <x v="1"/>
    <x v="0"/>
    <x v="0"/>
    <n v="6900000"/>
    <s v="FOMILENIO Asocio para el crecimiento "/>
  </r>
  <r>
    <x v="0"/>
    <s v="MINED"/>
    <s v="Programa de Desarrollo Turístico de La Franja Costeri Marina (ES-L1066)"/>
    <s v="Componente 2.  Fortalecimiento de empresndimientos locales en Usulután y La Libertad."/>
    <s v="Usulutan y La Libertad"/>
    <s v="2,3"/>
    <m/>
    <s v="MIITUR-CORSATUR"/>
    <n v="1900000"/>
    <x v="1"/>
    <x v="1"/>
    <x v="1"/>
    <x v="1"/>
    <m/>
    <m/>
  </r>
  <r>
    <x v="2"/>
    <s v="MITUR"/>
    <s v="Programa de Desarrollo Turístico de La Franja Costero Marina (ES-L1066)"/>
    <s v="Componente 3.  Gobernanza turística y gestion de entidades público-privada funcionando."/>
    <s v="Usulutan y La Libertad"/>
    <s v="2,3"/>
    <m/>
    <s v="MIITUR-CORSATUR"/>
    <n v="3180000"/>
    <x v="1"/>
    <x v="1"/>
    <x v="2"/>
    <x v="1"/>
    <m/>
    <m/>
  </r>
  <r>
    <x v="3"/>
    <s v="MARN"/>
    <s v="Plan de Gobernabiliad y Planificación de la Gestión del Recurso Hídrico-Gobierno de España/AECID2010-201"/>
    <s v="Objetivo: Contribuir a una gestión integral del recurso hidríco en el pais, priorizando el acceso sostenible al agua potable y saneamiento, a traves de la planificación y coordinacion de "/>
    <s v="A nivel nacional"/>
    <n v="0"/>
    <m/>
    <s v="Ministerio de Medio Ambiente y Recursos Naturales MARN"/>
    <m/>
    <x v="106"/>
    <x v="10"/>
    <x v="0"/>
    <x v="0"/>
    <m/>
    <m/>
  </r>
  <r>
    <x v="3"/>
    <s v="MARN"/>
    <s v="Formulacion de la propuesta de preparacion para REDDPLUSGEF/Banco Mundial28/07/2011-30/09/2012"/>
    <m/>
    <s v="A nivel nacional"/>
    <n v="0"/>
    <m/>
    <s v="Ministerio de Medio Ambiente y Recursos Naturales MARN"/>
    <m/>
    <x v="107"/>
    <x v="11"/>
    <x v="0"/>
    <x v="0"/>
    <m/>
    <m/>
  </r>
  <r>
    <x v="3"/>
    <s v="MARN"/>
    <s v="Incorporacion de la gestion de la Biodiversidad en Actividades de Pesca y Turismo en los Ecosistemas Costero/ Marino/ GEF/ PNUD.2011-2014 "/>
    <s v="Este proyecto busca promover enfoques intrasectoriales para la conservacion de la BD a traves de los sectores de turismo y pesca, abordadndo una diversidad de riezgos que actualmente y potencialmente pueden afectar la biodiversidad"/>
    <s v="Franja Costero Marina de El Salvador, con 18 municipios priorizados, (San Luis, L aHerradura, Conchagua, San Alejo, Pasaquina, Meanguera del Golfo, Intipucá, Tecoluca,  Zacatecoluca,  Puerto El Triunfo, San Dionisio, Jiquilisco, Usulután, Chirilagua, La Libertad, Jujutla, Acajutla, Tamanique, San Francisco Manéndez)"/>
    <s v="1,2,3,4,5"/>
    <m/>
    <s v="Ministerio de Medio Ambiente y Recursos Naturales MARN"/>
    <m/>
    <x v="108"/>
    <x v="12"/>
    <x v="0"/>
    <x v="0"/>
    <m/>
    <m/>
  </r>
  <r>
    <x v="3"/>
    <s v="MARN"/>
    <s v="Contribucion al uso seguro de la biotecnologia en El Salvador GEF/PNUMA Agosto10-Agosto14"/>
    <s v="Consolidar e implementar un sistema operativo para el uso seguro de la"/>
    <m/>
    <n v="0"/>
    <m/>
    <s v="Ministerio de Medio Ambiente y Recursos Naturales MARN"/>
    <m/>
    <x v="109"/>
    <x v="13"/>
    <x v="0"/>
    <x v="0"/>
    <m/>
    <m/>
  </r>
  <r>
    <x v="3"/>
    <s v="MARN"/>
    <s v="Mejoramiento de Fuentes y Conservación de Suelos en Microcuencas Priortarias-Programa de Agua y Saneamiento Rural. BID-2358/OC-ES.2011-2015 préstamo/ Donación AECID "/>
    <s v="Planificación y coordinacion de esfuerzos que conlleven tanto la inversión y el fortalecimiento de las capacidads"/>
    <m/>
    <n v="0"/>
    <m/>
    <s v="Ministerio de Medio Ambiente y Recursos Naturales MARN"/>
    <m/>
    <x v="110"/>
    <x v="14"/>
    <x v="0"/>
    <x v="0"/>
    <m/>
    <m/>
  </r>
  <r>
    <x v="3"/>
    <s v="MARN"/>
    <s v="Programa de Restauración de Ecosistemas y Paisajes PREP"/>
    <s v="Promover y facilitar la restauracion de ecosistemas, cuencas y paisajes rurales como mecanismo para asegurar los servicios ecosistémicos y la conservación de la biodiversidad como forma de adaptarse a los impactos de cambio climático, sobre todo la variabilidad en el clima Metas:             a)Rehabilitar los procesos ecologicos y ecosistematicos para recuperar la resiliencia y desarrollar los sevicios eco-sistémicos claves (regulación hidríca, fertilidad de suelos) wue pueden reducir los riezgos socio-ambientales, estimular actividades productivas y asegurar los medios de"/>
    <s v="Territorio del Bajo Lempa incluyendo los municipios de Zacatecoluca, Tecoluca y Jiquilisco. Son los municipios que bordean ambos lados de Río Lempa en su delta, municipios de Cinquera, Suchitoto y Jutiapa Chalatenango, Las Vueltas, San José Ojos de Agua, El Carrizal, La Laguna, Comalapa y concepción Quezaltepeque"/>
    <s v="3,4"/>
    <m/>
    <s v="Ministerio de Medio Ambiente y Recursos Naturales MARN"/>
    <m/>
    <x v="1"/>
    <x v="1"/>
    <x v="3"/>
    <x v="2"/>
    <m/>
    <m/>
  </r>
  <r>
    <x v="3"/>
    <s v="MARN"/>
    <s v="Biodiversidad y sustentabilidad en el Áea de Conservación de Los Cobanos y Costa de Ahuachapán"/>
    <s v="Este Proyecto consiste en la adopción de actividades agroforestales ecoeficientes, promover las practicas sostenibles de uso de la tierra y buenas practicas en el cultivo de caña de azucar , promover la gestión inclusiva del área de conservación, y restaurar los ecosistemas costeros"/>
    <s v="Área de conservación de Cóbanos, Departamento de Sonsonate, y Área de conservación El Imposible-Barra de Santiago, Barra de Santiago Santa Rita Ahuachapan"/>
    <n v="0"/>
    <m/>
    <s v="Ministerio de Medio Ambiente y Recursos Naturales MARN"/>
    <m/>
    <x v="111"/>
    <x v="15"/>
    <x v="0"/>
    <x v="0"/>
    <m/>
    <m/>
  </r>
  <r>
    <x v="3"/>
    <s v="MITUR"/>
    <s v="Programa de Desarrollo Turístico de La Franja Costeri Marina (ES-L1066)"/>
    <s v="Componente 4.  Gestión Ambiental de los destinos turísticos. Sistema de Monitoreo de calidad ambiental y aguas residuales. Planes de ordenamiento terriotorial en La Libertad y Usulutan. Uso de zonas de alta diversidad en Asocio Público, Proyectos de saneamiento de aguas residuales y fortalecimiento de oficinas ambientales del MARN en La Libertad y Usulután."/>
    <s v="Usulutan y La Libertad"/>
    <s v="2,4"/>
    <m/>
    <s v="MIITUR-CORSATUR"/>
    <m/>
    <x v="1"/>
    <x v="1"/>
    <x v="4"/>
    <x v="1"/>
    <m/>
    <m/>
  </r>
  <r>
    <x v="4"/>
    <s v="MOP"/>
    <s v="CONSTRUCCION DE BORDAS EN EL RÍO HUIZA CANTÓN MELARA, MUNICIPIO Y DEPARTAMENTO DE LA LIBERTAD"/>
    <s v="Obra de Mitigación"/>
    <s v="La Libertad"/>
    <n v="2"/>
    <m/>
    <s v="MOP"/>
    <n v="5777457.5199999996"/>
    <x v="1"/>
    <x v="1"/>
    <x v="0"/>
    <x v="0"/>
    <n v="5777457.5199999996"/>
    <s v="-"/>
  </r>
  <r>
    <x v="4"/>
    <s v="MOP"/>
    <s v="OBRAS DE PROTECCIÓN EN BASES DE FUENTE SOBRE RÍO JUANA, MUNICIPIO DE USULUTÁN, USULUTÁN"/>
    <s v="Obra de Mitigación"/>
    <s v="Usulután"/>
    <n v="4"/>
    <m/>
    <s v="MOP"/>
    <n v="999795"/>
    <x v="1"/>
    <x v="1"/>
    <x v="0"/>
    <x v="0"/>
    <n v="999795"/>
    <s v="-"/>
  </r>
  <r>
    <x v="4"/>
    <s v="MOP"/>
    <s v="MEJORAMIENTO DE CAMINO TERCIARIO LIB22S:Et. LIB05W (DV. COMASAGUA) - Dv. LIB18S (CHILTIUPAN) LA LIBERTAD"/>
    <s v="Mejoramiento de las condiciones de transitabilidad"/>
    <s v="Chiltiupan"/>
    <n v="2"/>
    <m/>
    <s v="MOP"/>
    <n v="5290957"/>
    <x v="112"/>
    <x v="16"/>
    <x v="0"/>
    <x v="0"/>
    <m/>
    <m/>
  </r>
  <r>
    <x v="4"/>
    <s v="MOP"/>
    <s v="MEJORAMIENTO DE CAMINO RURAL LIB16S TRAMO LIB22S - TAMANIQUE. LA LIBERTAD"/>
    <s v="Mejoramiento de las condiciones de transitabilidad"/>
    <s v="Tamanique"/>
    <n v="2"/>
    <m/>
    <s v="MOP"/>
    <n v="8063651.9199999999"/>
    <x v="113"/>
    <x v="16"/>
    <x v="0"/>
    <x v="0"/>
    <m/>
    <m/>
  </r>
  <r>
    <x v="4"/>
    <s v="MOP"/>
    <s v="AMPLIACIÓN DE UN TRAMO DEL CAMINO TERCIARIO LIB05W: TRAMO CA04S-LIB15S (DESVIO A COMASAGUA) LA LIBERTAD"/>
    <s v="Mejoramiento de las condiciones de transitabilidad"/>
    <s v="Comasagua"/>
    <n v="2"/>
    <m/>
    <s v="MOP"/>
    <n v="2403282.5499999998"/>
    <x v="114"/>
    <x v="16"/>
    <x v="0"/>
    <x v="0"/>
    <m/>
    <m/>
  </r>
  <r>
    <x v="4"/>
    <s v="MOP"/>
    <s v="MEJORAMIENTO CAMINO RURAL AHU16S TRAMO: APANECA - QUEZALAPA - HACIA SAN PEDRO PUXTLA, APANECA, AHUACHAPAN D.D. VUS$100,000"/>
    <s v="Mejoramiento de las condiciones de transitabilidad"/>
    <s v="Apaneca"/>
    <n v="1"/>
    <m/>
    <s v="MOP"/>
    <n v="5195960.07"/>
    <x v="115"/>
    <x v="16"/>
    <x v="0"/>
    <x v="0"/>
    <m/>
    <m/>
  </r>
  <r>
    <x v="4"/>
    <s v="MOP"/>
    <s v="MEJORAMIENTO DE CAMINO RURAL LIB18N: TRAMO LIB22S - CHILTIUPAN, LA LIBERTAD"/>
    <s v="Mejoramiento de las condiciones de transitabilidad"/>
    <s v="Chiltiupan"/>
    <n v="2"/>
    <m/>
    <s v="MOP"/>
    <n v="6148790.9400000004"/>
    <x v="116"/>
    <x v="16"/>
    <x v="0"/>
    <x v="0"/>
    <m/>
    <m/>
  </r>
  <r>
    <x v="4"/>
    <s v="MOP"/>
    <s v="MEJORAMIENTO CAMINO TERCIARIO SAV29S, TRAMO SAN CARLOS LEMPA (SAV 09S) HACIA LA PITA, TECOLUCA, SAN VICENTE)"/>
    <s v="Mejoramiento de las condiciones de transitabilidad"/>
    <s v="Tecoluca"/>
    <n v="2"/>
    <m/>
    <s v="MOP"/>
    <n v="6844060.5899999999"/>
    <x v="117"/>
    <x v="17"/>
    <x v="0"/>
    <x v="0"/>
    <m/>
    <m/>
  </r>
  <r>
    <x v="4"/>
    <s v="MOP"/>
    <s v="OBRAS CIVILES PUENTE SOBRE RIÓ TIHUAPA, CANTON CANGREJERA, CASERIO VICTORIA, 500 METRO AGUAS ARRIBA DE PUENTE CANGREJERA CA02."/>
    <s v="Mejoramiento de las condiciones de transitabilidad"/>
    <s v="La Libertad"/>
    <n v="2"/>
    <m/>
    <s v="MOP"/>
    <n v="608796.63"/>
    <x v="118"/>
    <x v="17"/>
    <x v="0"/>
    <x v="0"/>
    <m/>
    <m/>
  </r>
  <r>
    <x v="4"/>
    <s v="MOP"/>
    <s v="CONSTRUCCIÓN DE EMPEDRADO Y FRAGUADO DE CALLE SAN MARTIN, MUNICIPIO GUAYMANGO, AUHACHAPAN"/>
    <s v="Mejoramiento de las condiciones de transitabilidad"/>
    <s v="Guaymango"/>
    <n v="2"/>
    <m/>
    <s v="MOP"/>
    <n v="80000"/>
    <x v="119"/>
    <x v="8"/>
    <x v="0"/>
    <x v="0"/>
    <m/>
    <m/>
  </r>
  <r>
    <x v="4"/>
    <s v="MOP"/>
    <s v="OBRAS CIVILES PUENTE SAN ANTONIO SOBRE RIO SAN ANTONIO - LA LIBERTAD EN CARRETERA CA02 LITORAL"/>
    <s v="Obra de Miitigacion"/>
    <s v="La Libertad"/>
    <n v="2"/>
    <m/>
    <s v="MOP"/>
    <n v="2497017.44"/>
    <x v="120"/>
    <x v="18"/>
    <x v="0"/>
    <x v="0"/>
    <m/>
    <m/>
  </r>
  <r>
    <x v="4"/>
    <s v="MOP"/>
    <s v="CAMINO RURAL TAPALHUACA - SAN FRANCISCO CHINAMECA, DEPARTAMENTO DE LA PAZ"/>
    <s v="Mejoramiento de las condiciones de transitabilidad"/>
    <s v="San Francisco Chinameca"/>
    <n v="3"/>
    <m/>
    <s v="MOP"/>
    <n v="2222500"/>
    <x v="1"/>
    <x v="1"/>
    <x v="5"/>
    <x v="3"/>
    <m/>
    <m/>
  </r>
  <r>
    <x v="4"/>
    <s v="MOP"/>
    <s v="PUENTE BINACIONAL (FRONTERA EL SALVADOR - GUATEMALA), GENERAL MANUEL JOSE ARCE"/>
    <s v="Construccion de nuevo puente"/>
    <s v="San Francisco Menendez"/>
    <n v="1"/>
    <m/>
    <s v="MOP"/>
    <n v="13000000"/>
    <x v="1"/>
    <x v="1"/>
    <x v="6"/>
    <x v="4"/>
    <m/>
    <m/>
  </r>
  <r>
    <x v="4"/>
    <s v="MOP"/>
    <s v="ADECUACIÓN Y AMPLIACIÓN DE CARRETERA CA02E, TRAMO: DESVÍO COMALAPA (PAZ31N) - DESVÍO AEROPUERTO EL SALVADOR (RN055) - ZACAECOLUCA (ROTONDA) LONGITUD 27.17 KM. DEPARTAMENTO DE LA PAZ."/>
    <s v="Construccion de dos carriles adicionales"/>
    <s v="San Luis Talpa - Zacatecoluca"/>
    <n v="3"/>
    <m/>
    <s v="MOP"/>
    <n v="102710000"/>
    <x v="1"/>
    <x v="1"/>
    <x v="7"/>
    <x v="5"/>
    <m/>
    <m/>
  </r>
  <r>
    <x v="4"/>
    <s v="MOP"/>
    <s v="Rehabilitacion de la Carretera CA01E, Tramo: Sirama - Puente de la Amistad (El Amatillo). Longitud 32.84 km. Departamento de La Union."/>
    <s v="Mejoramiento de las condiciones de la via existente"/>
    <s v="La Unión - Pasaquina"/>
    <n v="5"/>
    <m/>
    <s v="MOP"/>
    <n v="45730000"/>
    <x v="1"/>
    <x v="1"/>
    <x v="8"/>
    <x v="5"/>
    <m/>
    <m/>
  </r>
  <r>
    <x v="4"/>
    <s v="MOP"/>
    <s v="Reconstruccion del Camino Rural USU08S (Transversal a la Litoral), Tramo CA02E (Desvio Sa Marcos Lempa) - La Canoa. Longitud 17.62 km. Departamento de Usultan."/>
    <s v="Rehabilitación de vía existente"/>
    <s v="Jiquilisco"/>
    <n v="4"/>
    <m/>
    <s v="MOP"/>
    <n v="16130000"/>
    <x v="1"/>
    <x v="1"/>
    <x v="9"/>
    <x v="5"/>
    <m/>
    <m/>
  </r>
  <r>
    <x v="4"/>
    <s v="MOP"/>
    <s v="Mejoramiento Camino Vecinal Tramo CA02E (Tierra Blanca) -  Canton California - Salinas El Zompopero, Municipio de Jiquilisco; Departamento de Usulutan, Longitud 6.28 km."/>
    <s v="Mejoramiento de las condiciones de transitabilidad"/>
    <s v="Tierra Blanca - Jiquilisco"/>
    <n v="4"/>
    <m/>
    <s v="MOP"/>
    <n v="8760000"/>
    <x v="1"/>
    <x v="1"/>
    <x v="10"/>
    <x v="5"/>
    <m/>
    <m/>
  </r>
  <r>
    <x v="4"/>
    <s v="MOP"/>
    <s v="MEJORAMIENTO CAMINO TERCIARIO RUTA USU25N TRAMO; CA02E SAN AGUSTIN - SAN FRANCISCO JAVIER, DEPTO. USULUTAN."/>
    <s v="Mejoramiento de las condicines de transitabilidad"/>
    <s v="San Francisco Javier"/>
    <n v="4"/>
    <m/>
    <s v="MOP"/>
    <n v="4221436.83"/>
    <x v="1"/>
    <x v="1"/>
    <x v="11"/>
    <x v="1"/>
    <m/>
    <m/>
  </r>
  <r>
    <x v="4"/>
    <s v="MOP"/>
    <s v="MEJORAMIENTO CAMINO RURAL LIB21E ACCSO A TEOTEPEQUE A JICALAPA, DEPTO. LA LIBERTAD."/>
    <s v="Mejoramiento de las condicines de transitabilidad"/>
    <s v="Teotepeque - Jicalapa"/>
    <n v="4"/>
    <m/>
    <s v="MOP"/>
    <n v="1679759.67"/>
    <x v="1"/>
    <x v="1"/>
    <x v="12"/>
    <x v="1"/>
    <m/>
    <m/>
  </r>
  <r>
    <x v="4"/>
    <s v="MOP"/>
    <s v="3 Accesos a la costa en Bahia de Jiquilisco."/>
    <s v="Mejoramiento de las condicines de transitabilidad"/>
    <s v="Jiquilisco"/>
    <n v="4"/>
    <m/>
    <s v="MOP"/>
    <n v="4500000"/>
    <x v="1"/>
    <x v="1"/>
    <x v="13"/>
    <x v="1"/>
    <m/>
    <m/>
  </r>
  <r>
    <x v="4"/>
    <s v="MOP"/>
    <s v="Ampliacion de la Carretera RN19E . La Union, Municipios de Conchagua y La Union, Departamento de La Union."/>
    <s v="Mejoramiento de las condicines de transitabilidad"/>
    <s v="Conchagua - La Unión"/>
    <n v="5"/>
    <m/>
    <s v="MOP"/>
    <n v="12002470"/>
    <x v="1"/>
    <x v="1"/>
    <x v="14"/>
    <x v="1"/>
    <m/>
    <m/>
  </r>
  <r>
    <x v="4"/>
    <s v="MOP"/>
    <s v="MEJORAMIENTO CAMINO RURAL USU20S, JUQUILISCO - PUERTO AVALOS."/>
    <s v="Mejoramiento de las condicines de transitabilidad"/>
    <s v="Jiquilisco"/>
    <n v="4"/>
    <m/>
    <s v="MOP"/>
    <n v="2130352.36"/>
    <x v="1"/>
    <x v="1"/>
    <x v="15"/>
    <x v="1"/>
    <m/>
    <m/>
  </r>
  <r>
    <x v="4"/>
    <s v="MOP"/>
    <s v="MEJRAMIENTO APERTURA DE CAMINO VECINAL TRAMO: CANTON AMAPALITA - CANTON LAS PLAYITAS, MUNICIPIO DE LA UNION, DEPARTAMENTO DE LA UNION."/>
    <s v="Mejoramiento de las condicines de transitabilidad"/>
    <s v="La Unión"/>
    <n v="5"/>
    <m/>
    <s v="MOP"/>
    <n v="3850000"/>
    <x v="1"/>
    <x v="1"/>
    <x v="16"/>
    <x v="1"/>
    <m/>
    <m/>
  </r>
  <r>
    <x v="4"/>
    <s v="MOP"/>
    <s v="MEJORAMIENTO DE CAMINO RURAL TRAMO: CA01 CANTON PIEDRAS BLANCAS."/>
    <s v="Mejoramiento de las condicines de transitabilidad"/>
    <s v="Pasaquina"/>
    <n v="5"/>
    <m/>
    <s v="MOP"/>
    <m/>
    <x v="1"/>
    <x v="1"/>
    <x v="0"/>
    <x v="0"/>
    <n v="9860000"/>
    <s v="-"/>
  </r>
  <r>
    <x v="4"/>
    <s v="MOP"/>
    <s v="RECONSTRUCCION DEL PUENTE SOBRE EL RIO HUIZA, KM 44.2 DE LA CARRETERA CA02E, CANTON MELARA, MUNICIPIO Y DEPARTAMENTO DE LA LIBERTAD."/>
    <s v="Construcción de puente"/>
    <s v="La Libertad"/>
    <n v="3"/>
    <m/>
    <s v="MOP"/>
    <m/>
    <x v="1"/>
    <x v="1"/>
    <x v="0"/>
    <x v="0"/>
    <n v="3052746.93"/>
    <s v="-"/>
  </r>
  <r>
    <x v="4"/>
    <s v="MITUR"/>
    <s v="Programa de Desarrollo Turístico de La Franja Costero Marina (ES-L1066)"/>
    <s v="Componente 1. Puesta en Valor de Atractivos Turísticos "/>
    <s v="Usulutan y La Libertad"/>
    <s v="2,4"/>
    <m/>
    <s v="MIITUR-CORSATUR"/>
    <n v="11620000"/>
    <x v="1"/>
    <x v="1"/>
    <x v="17"/>
    <x v="1"/>
    <m/>
    <m/>
  </r>
  <r>
    <x v="1"/>
    <s v="MINEC/ MINED"/>
    <s v="ES-L1058 : Programa de Innovación para la Competitividad"/>
    <s v="Componente 2.  Inversión en Innovación. Montos disponibles para la FCM $18MM de $30MM totales"/>
    <s v="Nacional. Con énfasis en la FCM"/>
    <n v="0"/>
    <m/>
    <s v="MINEC"/>
    <n v="30000000"/>
    <x v="1"/>
    <x v="1"/>
    <x v="18"/>
    <x v="1"/>
    <m/>
    <m/>
  </r>
  <r>
    <x v="5"/>
    <m/>
    <m/>
    <m/>
    <m/>
    <m/>
    <m/>
    <m/>
    <m/>
    <x v="1"/>
    <x v="1"/>
    <x v="0"/>
    <x v="0"/>
    <m/>
    <m/>
  </r>
  <r>
    <x v="6"/>
    <s v="MINED"/>
    <s v="Programa de Becas para el Modelo Educativo Gradual de Aprendizaje Tecnico y Tecnológico MEGATEC"/>
    <s v="El modelo Educativo Gradual de Aprendizaje Técnico  y Tecnológico MEGATEC, está concevido como un proceso de innovación educativa, adecuada para responder exigencias de desarrollo social, científico, tecnológico y del sector productivo del pais, respetandose y atendiendose los intereses vocacionales de las personas y las necesidades de sus comunidades MEGATEC busca potenciar y articularla Educación media Técnica con la Educación Tecnológica superior  como estrategia educativa que desarrolle la formacion de mas profesionales permitiendo a la poblacion mejorar su"/>
    <s v="Sonsonate, La Unión y Zacatecoluca"/>
    <s v="2,3,5"/>
    <m/>
    <s v="MINED"/>
    <n v="3000000"/>
    <x v="121"/>
    <x v="8"/>
    <x v="0"/>
    <x v="0"/>
    <m/>
    <m/>
  </r>
  <r>
    <x v="6"/>
    <s v="MINED"/>
    <s v="Programa de Fortalecimiento de la Cohesión Social en el Sector Educativo de El Salvador"/>
    <s v="El programa de Fortalecimiento de la Cohesión Social en el Sector Educativo de El Salvador, en su componente III: Fortalecimiento de la Educación Media Técnica, desarrolla una transformacion educativa integral de 10 Bachilleratos Técnicos vocacionale considerados como estrategicos para el desarrollo de la población, cuyas especialidades serán en las áreas de agroindustria, cultura, mecanica general, mecanica automotriz, comercio, turismo, salud, electrónica, desarrollo de software y tecnoligía de información y comunicación"/>
    <s v="Usulután, Jiquilisco, Pto. El Triunfo, Santa Rosa de Lima, La Unión, El Transito, Zacatecoluca, San Juan Tepezontes, Santiago Nonualco, San Luis Talpa, Sonsonate, Izalco, Acajutla, Juayua y Sonzacate"/>
    <s v="1,3,4,5,"/>
    <m/>
    <s v="MINED"/>
    <n v="1500000"/>
    <x v="122"/>
    <x v="19"/>
    <x v="0"/>
    <x v="0"/>
    <m/>
    <m/>
  </r>
  <r>
    <x v="6"/>
    <s v="MINED"/>
    <s v="Proyecto Italia"/>
    <s v="El proyecto Italia rsponde a la necesidad de ampliar la oferta educativa del nivel de Educación Media para mejorar la productividad en 12 departamentos de El Salvador, contibuyendo a la vez a la reconversión y moderniozacion del sector agropecuario e industrial en la zona de influencia. Este proyecto busca lograr una nueva generación de Bachilleres generales y técnicos que, desde la práctica, y el estudio, se enlacen al trabajo administrativo y otras prácticas empresariales que les darán mejores oportunidades para la consecución de empleo"/>
    <s v="San Alejo, Intipuca, Jiquilisco"/>
    <s v="4,5"/>
    <m/>
    <s v="MINED"/>
    <m/>
    <x v="1"/>
    <x v="1"/>
    <x v="19"/>
    <x v="6"/>
    <m/>
    <m/>
  </r>
  <r>
    <x v="6"/>
    <s v="MINED"/>
    <s v="CURSOS TECNICOS (DIPLOMADOS) EDUCACIÓN PARA JOVENES Y ADULTOS"/>
    <s v="Diplomado de Agricultura Sostenible"/>
    <s v="3 municipios: Concepción Batres, Ozatlán y Santa Elena"/>
    <n v="4"/>
    <m/>
    <s v="MINED"/>
    <n v="24000"/>
    <x v="123"/>
    <x v="8"/>
    <x v="0"/>
    <x v="0"/>
    <m/>
    <m/>
  </r>
  <r>
    <x v="6"/>
    <s v="MINED"/>
    <s v="CURSOS TECNICOS (DIPLOMADOS) EDUCACIÓN PARA JOVENES Y ADULTOS"/>
    <s v="Banquetes, Cuidado del Cabello"/>
    <s v="La Libertad"/>
    <n v="2"/>
    <m/>
    <s v="MINED"/>
    <n v="16000"/>
    <x v="124"/>
    <x v="8"/>
    <x v="0"/>
    <x v="0"/>
    <m/>
    <m/>
  </r>
  <r>
    <x v="6"/>
    <s v="MINED"/>
    <s v="CURSOS TECNICOS (DIPLOMADOS) EDUCACIÓN PARA JOVENES Y ADULTOS"/>
    <s v="Cocina, pastelería y Artesanías"/>
    <s v="16 municipios"/>
    <n v="0"/>
    <m/>
    <s v="MINED"/>
    <n v="47058.879999999997"/>
    <x v="125"/>
    <x v="8"/>
    <x v="0"/>
    <x v="0"/>
    <m/>
    <m/>
  </r>
  <r>
    <x v="6"/>
    <s v="MINED"/>
    <s v="CURSOS TECNICOS (DIPLOMADOS) EDUCACIÓN PARA JOVENES Y ADULTOS"/>
    <s v="Mecania Automotriz, Corte y Confección, Panadería, Estética  y belleza, Asistente Administrativo y Ventas"/>
    <s v="5 municipios"/>
    <n v="0"/>
    <m/>
    <s v="MINED"/>
    <n v="58720"/>
    <x v="126"/>
    <x v="8"/>
    <x v="0"/>
    <x v="0"/>
    <m/>
    <m/>
  </r>
  <r>
    <x v="6"/>
    <s v="MINED"/>
    <s v="CURSOS TECNICOS (DIPLOMADOS) EDUCACIÓN PARA JOVENES Y ADULTOS"/>
    <s v="Producción Agropecuaria"/>
    <s v="2 municipios"/>
    <n v="0"/>
    <m/>
    <s v="MINED"/>
    <n v="32000"/>
    <x v="127"/>
    <x v="8"/>
    <x v="0"/>
    <x v="0"/>
    <m/>
    <m/>
  </r>
  <r>
    <x v="6"/>
    <s v="CEPA"/>
    <s v="Estudio de Pre-factibilidad para el desarrollo de la Industria Aeronáutica en El Salvador"/>
    <s v="Determinar la Prefactibilidad Técnica Economica del Proyecto &quot;Desarrollo de la Industria Aeronáutica en El Salvador&quot; Incluye la parte de Fortalecimiento  de la formación técnica y/o profesional relacionada a aeronáutica"/>
    <s v="San Luis Talpa, Ilopango y Zaragoza"/>
    <s v="2,3"/>
    <m/>
    <s v="Ministerio de Economía PROESA y  CEPA"/>
    <m/>
    <x v="128"/>
    <x v="20"/>
    <x v="0"/>
    <x v="0"/>
    <m/>
    <m/>
  </r>
  <r>
    <x v="3"/>
    <s v="USAID "/>
    <s v="Programa Regional USAID para el Manejo de Recursos Acuaticos y Altenativas Economicas "/>
    <s v="Programa regional de gestion de recursos costero marinos que impulsa politicas y normas regionales armonizadas para el mejor manejo de los recursos costero marinos asi como la implementacion de mejores practicas en el uso de los recursos.  Su objectivo general es reducir las amenazas provocadas por prácticas insostenibles de pesca y el desarrollo costero, estableciendo las bases para los mecanismos de derechos de acceso, que fortalezcan la gestión de recursos y la biodiversidad marino-costera y conserven la biodiversidad marino-costera crítica en el Istmo Centroamericano. "/>
    <s v="Actividades de campo se desarrollan en Jiquilisco y La Union"/>
    <s v="4,5"/>
    <m/>
    <s v="Ministerio Medio Ambiente y Recursos Naturales"/>
    <n v="400000"/>
    <x v="129"/>
    <x v="18"/>
    <x v="0"/>
    <x v="0"/>
    <m/>
    <m/>
  </r>
  <r>
    <x v="0"/>
    <s v="USAID "/>
    <s v="Programa para Mejorar el Acceso al Empleo"/>
    <s v="Mejorar las condicione del empleo. Responder a la demada de la empresa privada con oferta estudiantil acorde a lals necesidades. Mejorar el acceso al primer empleo. "/>
    <s v="Nacional"/>
    <n v="0"/>
    <m/>
    <m/>
    <m/>
    <x v="130"/>
    <x v="18"/>
    <x v="20"/>
    <x v="7"/>
    <m/>
    <m/>
  </r>
  <r>
    <x v="0"/>
    <s v="USAID "/>
    <s v=" Programa para el Desarrollo de las PYME "/>
    <s v="Apoyo al PYMES  para obtener un mayor acceso a servicios de desarrollo empresarial de calidad, que les permita incrementar su productividad y competitividad, así como ampliar sus operaciones en mercados locales e internacionales."/>
    <s v="Naconal"/>
    <n v="0"/>
    <m/>
    <s v="Chemonics"/>
    <m/>
    <x v="121"/>
    <x v="18"/>
    <x v="0"/>
    <x v="0"/>
    <m/>
    <m/>
  </r>
  <r>
    <x v="0"/>
    <s v="USAID "/>
    <s v="Proyecto de Competitividad Municipal"/>
    <s v="Concurso de Ideas de Negocios. Cuarenta ideas de negocios de 42 municipios del país serán premiadas con asistencia técnica para formular su plan de negocios que les permita iniciar o expandir dichas ideas en el mercado."/>
    <s v="42 municipios"/>
    <n v="0"/>
    <m/>
    <s v="FUSAI"/>
    <m/>
    <x v="107"/>
    <x v="18"/>
    <x v="0"/>
    <x v="0"/>
    <m/>
    <m/>
  </r>
  <r>
    <x v="3"/>
    <s v="USAID "/>
    <s v="Programa de Conservacion de la Tortuga Marina y Mejoramiento de Comunidades"/>
    <s v="Programa bilateral de USAID para la conservacion de las tortugas marinas a traves del manejo de viveros en playas a lo largo de la costa salvadorena."/>
    <s v="Municipios costeros a lo largo del pais."/>
    <n v="0"/>
    <m/>
    <s v="Ministerio Medio Ambiente y Recursos Naturales / Ministerio de Turismo"/>
    <m/>
    <x v="122"/>
    <x v="18"/>
    <x v="0"/>
    <x v="0"/>
    <m/>
    <m/>
  </r>
  <r>
    <x v="0"/>
    <s v="KOICA"/>
    <s v="Desarrollo del Sistema de Riego para la Mejora de la Productividad del Arroz en El Salvador"/>
    <s v="Desarrollo del Sistema de Riego para la Mejora de la Productividad del Arroz en El Salvador"/>
    <s v="Nacional"/>
    <n v="0"/>
    <m/>
    <s v="Ministerio de Agricultura y Ganadería (MAG)"/>
    <m/>
    <x v="131"/>
    <x v="21"/>
    <x v="0"/>
    <x v="0"/>
    <m/>
    <m/>
  </r>
  <r>
    <x v="0"/>
    <s v="KOICA"/>
    <s v="Promocion y Desarrollo de Tecnología Agropecuaria"/>
    <s v="Desarrollo del Sistema de Riego para la Mejora de la Productividad del Arroz en El Salvador"/>
    <s v="Nacional"/>
    <n v="0"/>
    <m/>
    <s v="Universidad de El Salvador (UES)"/>
    <m/>
    <x v="132"/>
    <x v="21"/>
    <x v="0"/>
    <x v="0"/>
    <m/>
    <m/>
  </r>
  <r>
    <x v="0"/>
    <s v="JICA "/>
    <s v="Proyecto de Mejoramiento de la Producción y Extensión de la Tecnología de Acuicultura de Moluscos"/>
    <s v="El Proyecto tiene como objetivo consolidar acuicultura de moluscos para los pescadores artesanales en la zona oriente del país. El Proyecto consiste en dos líneas de acción; 1) la transferencia tecnológica a CENDEPESCA en Puerto el Triunfo para la producción masiva de semillas de curil, casco de burro y ostra japonesa con el fin de atender la demanda nacional de los productores, y 2) la difunción de la acuicultura a los pescadores artesanales en la Bahia de Jiquilisco y el Golfo de Fonseca. También el Proyecto brinda asistencia para la comercialización de moluscos a través de alianza estratégica con otros actores relevantes en el país. "/>
    <s v="Los municipios en la zona del Golfo de Fonseca y la Bahia de Jiquilisco."/>
    <s v="4,5"/>
    <m/>
    <s v="CENDEPESCA/ MAG"/>
    <s v="1,621,960 "/>
    <x v="133"/>
    <x v="2"/>
    <x v="21"/>
    <x v="8"/>
    <m/>
    <m/>
  </r>
  <r>
    <x v="2"/>
    <s v="JICA "/>
    <s v="Proyecto de Fortalecimiento de las Capacidades para Desarrollo de Tursimo Rural en la Región Oriental de El Salvador"/>
    <s v="En los 13 municipios de la Mancomunidad de la Bahia de Fonceca, el proyecto apoyó, através de CORSATUR, la creación y el fortalecimiento de CDTs municipales y regional y promovío el desarrollo turistico rural participativo.  Los CDTs realizaron cinco proyectos piloto en la zona, inclusive un tur de las islas del Golfo de Fonseca. El Proyecto consistió en cuatro componentes; 1) Desarrollo de estrategía para el desarrollo turistico de la Región Oriental, 2) Fortalecimiento de las capacidades organizacionales de los CDT y de las institucionales de CORSATUR a traves de capacitaciones e implementación de proyectos piloto, y 4) Difunsión del modelo del desarrollo turistico en dicha mancomunidad a otros departamentos de la Región."/>
    <s v="Santa Rosa de Lima, Pasaquina, Bolivar, San Jose de la Fuente, Yucuaiquin, Yayantique, San Alejo, La Unión Meanguera del Golfo, Conchagua, El Carmen, Chirilagua, Intipuca. "/>
    <s v="4,5"/>
    <m/>
    <s v="MITUR/CORSATUR"/>
    <n v="3800000"/>
    <x v="1"/>
    <x v="2"/>
    <x v="0"/>
    <x v="0"/>
    <m/>
    <m/>
  </r>
  <r>
    <x v="0"/>
    <s v="JICA "/>
    <s v="Proyecto de Un Pueblo Un Producto"/>
    <s v="A traves del envío de expertos japoneses, capacitaciones y seminarios, el Proyecto pretende asistir difunción y adaptación de la metodología de Un Pueblo Un Producto en El Savador, con la finalidad de contribuir a promoción de la economía local y creación de empleo."/>
    <s v="La Palma, Concepción Quezaltepeque, Dulce Nombre de Maria, Jayaque, Panchimalco, Tepecoyo, Illobasco, San Sebastian, Nahuizalco, Apaneca, Santo Domingo de Guzman, Chalchuapa, Metapan, El Congo, San Lorenzo, Santa Ana, Caluco, Izalco, Santa Maria Ostuma, Tecoluca, San Vicente, Olocuilta, Verapaz, Puerto El Triunfo Isla del Espiritu Santo, San Alejo, Guatajiagua, Jocoaitique, Chinameca, Santa Tecla, Cojutepeque, Suchitoto, Santa Clara"/>
    <n v="0"/>
    <m/>
    <s v="CONAMYPE"/>
    <n v="865140"/>
    <x v="134"/>
    <x v="2"/>
    <x v="22"/>
    <x v="8"/>
    <m/>
    <m/>
  </r>
  <r>
    <x v="0"/>
    <s v="JICA "/>
    <s v="Fortalecimiento de Cadenas Productivas Agricolas en la Región Oriental (Nombre provisional)"/>
    <m/>
    <s v="Los cuatro departamentos en la Zona Oriental "/>
    <s v="4,5"/>
    <m/>
    <s v="MAG"/>
    <s v="-"/>
    <x v="1"/>
    <x v="2"/>
    <x v="0"/>
    <x v="0"/>
    <m/>
    <m/>
  </r>
  <r>
    <x v="0"/>
    <s v="JICA "/>
    <s v="Desarrollo de Capacidades de Facilitadores para el Mejoramiento de la Productividad y Calidad para Pequeñas y Meridanas Empresas II (Proyecto Regional)"/>
    <m/>
    <s v="Por definir"/>
    <n v="0"/>
    <m/>
    <s v="MINEC"/>
    <s v="-"/>
    <x v="1"/>
    <x v="2"/>
    <x v="0"/>
    <x v="0"/>
    <m/>
    <m/>
  </r>
  <r>
    <x v="0"/>
    <s v="SWISS CONTACT"/>
    <s v="Proyecto de Fortalecimiento de las Capacidades de Producción de Artesanías."/>
    <m/>
    <s v="Nacional"/>
    <n v="0"/>
    <m/>
    <s v="Swiss Contact"/>
    <m/>
    <x v="122"/>
    <x v="22"/>
    <x v="0"/>
    <x v="0"/>
    <m/>
    <m/>
  </r>
  <r>
    <x v="0"/>
    <s v="SWISS CONTACT"/>
    <s v="Autoempleo y emprendedurismo "/>
    <m/>
    <s v="Nacional"/>
    <n v="0"/>
    <m/>
    <s v="Swiss Contact"/>
    <m/>
    <x v="135"/>
    <x v="22"/>
    <x v="0"/>
    <x v="0"/>
    <m/>
    <m/>
  </r>
  <r>
    <x v="4"/>
    <s v="AECID"/>
    <s v="Proyectos de accceso al agua, practica ambientales y pesca sostenible."/>
    <s v="Proyectos de accceso al agua, practica ambientales y pesca sostenible."/>
    <s v="Nacional"/>
    <n v="0"/>
    <m/>
    <s v="FISDL / ANDA / MARN"/>
    <s v="-"/>
    <x v="136"/>
    <x v="10"/>
    <x v="23"/>
    <x v="9"/>
    <m/>
    <m/>
  </r>
  <r>
    <x v="4"/>
    <s v="LUX-DEV"/>
    <s v="Proyectos de accceso al agua, prácticas ambientales y Apoyo a Red Solidaria"/>
    <s v="Fondos para comunidades solidarias, prevensión en cambio climático y políticas de reducción de pobreza."/>
    <s v="Nacional"/>
    <n v="0"/>
    <m/>
    <s v="FOCAP - PNUD"/>
    <s v="-"/>
    <x v="137"/>
    <x v="3"/>
    <x v="0"/>
    <x v="0"/>
    <m/>
    <m/>
  </r>
  <r>
    <x v="2"/>
    <s v="COOP. ALEMANA"/>
    <s v="Préstamo para el desarrollo comunal FISDL IV"/>
    <s v="Fomento del desarrollo de  comunidades y el mejoramiento al acceso a infraestructuras más económicas y más sociales así como su utilización sostenible"/>
    <s v="100 municipios más pobres"/>
    <n v="0"/>
    <m/>
    <s v="FISDL"/>
    <n v="18200000"/>
    <x v="138"/>
    <x v="23"/>
    <x v="0"/>
    <x v="0"/>
    <m/>
    <m/>
  </r>
  <r>
    <x v="3"/>
    <s v="COOP. ALEMANA"/>
    <s v="Programa de crédito para el medio ambiente y energías  renovables (Iniciativa de Clima y de Medio Ambiente)"/>
    <s v="Fomento del desarrollo de  comunidades y el mejoramiento al acceso a infraestructuras más económicas y más sociales así como su utilización sostenible"/>
    <s v="Nacional"/>
    <n v="0"/>
    <m/>
    <s v="BANDESAL -  GIZ GESTA"/>
    <n v="25350000"/>
    <x v="139"/>
    <x v="23"/>
    <x v="0"/>
    <x v="0"/>
    <m/>
    <m/>
  </r>
  <r>
    <x v="6"/>
    <s v="COOP. ALEMANA"/>
    <s v="Programa de formación profesional FONEDUCA"/>
    <s v="A través de los  fondos de garantía de préstamos se pretende asegurar una parte del riesgo de impago de los préstamos para formación por las entidades financieras a jóvenes que provienen de familias con bajos ingresos para el financiamiento de los costos del estudio"/>
    <s v="Nacional"/>
    <n v="0"/>
    <m/>
    <s v="BANDESAL - FORTALECE - PROMUDE"/>
    <n v="7150000"/>
    <x v="140"/>
    <x v="23"/>
    <x v="0"/>
    <x v="0"/>
    <m/>
    <m/>
  </r>
  <r>
    <x v="3"/>
    <s v="COOP. ALEMANA"/>
    <s v="Préstamo para el apoyo del Plan nacional integral para el manejo de desechos sólidos en El Salvador"/>
    <s v="Manejo de desechos sólidos, protección al medio ambiente y_x000a_recursos naturales"/>
    <s v="Nacional"/>
    <n v="0"/>
    <m/>
    <s v="MARN"/>
    <n v="19500000"/>
    <x v="141"/>
    <x v="23"/>
    <x v="0"/>
    <x v="0"/>
    <m/>
    <m/>
  </r>
  <r>
    <x v="3"/>
    <s v="COOP. ALEMANA"/>
    <s v="Apoyo en la construcción de una planta solar con la CEL (capacidad de 6 MW)"/>
    <s v="El proyecto prevé concederle al abastecedor estatal de energía eléctrica CEL, un préstamo de hasta 17 millones de euros para el financiamiento de una planta fotovoltáica de 6 MW"/>
    <s v="Usulutan"/>
    <n v="4"/>
    <m/>
    <s v="CEL"/>
    <n v="22100000"/>
    <x v="142"/>
    <x v="24"/>
    <x v="0"/>
    <x v="0"/>
    <m/>
    <m/>
  </r>
  <r>
    <x v="3"/>
    <s v="COOP. ALEMANA"/>
    <s v="Reducción de Emisiones, Deforestación y Degradación Forestal (REDD)"/>
    <s v="Programa Estratégico Regional Forestal“ coordinado por la Comisión Centroamericana de Ambiente y Desarrollo (CCAD)"/>
    <s v="Regional"/>
    <n v="0"/>
    <m/>
    <s v="SICA -CCAD"/>
    <n v="1560000"/>
    <x v="143"/>
    <x v="25"/>
    <x v="0"/>
    <x v="0"/>
    <m/>
    <m/>
  </r>
  <r>
    <x v="3"/>
    <s v="COOP. ALEMANA"/>
    <s v="Fomento de Eficiencia Energética y Energía Renovable en Centroamérica (4E)"/>
    <s v="Mejorar la realización de estrategias para la expansión de energías renovables y  medidas para la eficiencia energética."/>
    <s v="Regional"/>
    <n v="0"/>
    <m/>
    <s v="SG - SICA"/>
    <n v="2504666.6666666665"/>
    <x v="144"/>
    <x v="26"/>
    <x v="0"/>
    <x v="0"/>
    <m/>
    <m/>
  </r>
  <r>
    <x v="4"/>
    <s v="COOP. ALEMANA"/>
    <s v="Programa del Instituto Federal de Física y Metrología (PTB)"/>
    <s v="Construcción de infraestructura de calidad armonizada a la región."/>
    <s v="Regional"/>
    <n v="0"/>
    <m/>
    <s v="SICA"/>
    <n v="5850000"/>
    <x v="145"/>
    <x v="27"/>
    <x v="0"/>
    <x v="0"/>
    <m/>
    <m/>
  </r>
  <r>
    <x v="4"/>
    <s v="COOP. ALEMANA"/>
    <s v="Fomento del ordenamiento y desarrollo territorial en Centroamérica"/>
    <s v="Busca un marco conceptual acordado a nivel regional, apoyar la cooperación transfronteriza  de los entes nacionales responsables del ordenamiento de instituciones nacionales"/>
    <s v="Regional"/>
    <n v="0"/>
    <m/>
    <s v="SICA/SISCA"/>
    <n v="13000000"/>
    <x v="146"/>
    <x v="27"/>
    <x v="0"/>
    <x v="0"/>
    <m/>
    <m/>
  </r>
  <r>
    <x v="0"/>
    <s v="COOP. ALEMANA"/>
    <s v="Fondo regional abierto para el apoyo al empleo juvenil y económico en Centroamérica  (FACILIDAD)"/>
    <s v="El objetivo del programa es apoyar a los países del istmo en los procesos del cambio estructural y  mejorar la competitividad de las pymes y las posibilidades de ocupación en sectores seleccionados de Centroamérica."/>
    <s v="Nacional"/>
    <n v="0"/>
    <m/>
    <s v="GIZ - Varias instituciones"/>
    <n v="7150000"/>
    <x v="1"/>
    <x v="1"/>
    <x v="24"/>
    <x v="10"/>
    <m/>
    <m/>
  </r>
  <r>
    <x v="3"/>
    <s v="COOP. ALEMANA"/>
    <s v="Plataforma de cooperación Latinoamérica Norte (KOPLAN)"/>
    <s v="El objetivo del programa es apoyar la tecnología conveniente para el clima y el medio ambiente en México y Centroamérica. "/>
    <s v="Regional"/>
    <n v="0"/>
    <m/>
    <s v="SICA"/>
    <n v="5850000"/>
    <x v="1"/>
    <x v="1"/>
    <x v="25"/>
    <x v="10"/>
    <m/>
    <m/>
  </r>
  <r>
    <x v="3"/>
    <s v="COOP. ALEMANA"/>
    <s v="Protección del biocorredor mesoaméricano en Centroamérica"/>
    <s v="El objetivo del programa es apoyar la tecnología conveniente para el clima y el medio ambiente en México y Centroamérica. "/>
    <s v="Regional"/>
    <n v="0"/>
    <m/>
    <s v="SICA"/>
    <n v="5850000"/>
    <x v="1"/>
    <x v="1"/>
    <x v="25"/>
    <x v="10"/>
    <m/>
    <m/>
  </r>
  <r>
    <x v="0"/>
    <s v="COOP. ALEMANA"/>
    <s v="Desarrollo empresarial y apoyo a Pymes en Centroamérica"/>
    <s v="Préstamos para PYMES innovadoras y emprendedores"/>
    <s v="Regional"/>
    <n v="0"/>
    <m/>
    <s v="BCIE"/>
    <n v="13000000"/>
    <x v="1"/>
    <x v="1"/>
    <x v="6"/>
    <x v="11"/>
    <m/>
    <m/>
  </r>
  <r>
    <x v="3"/>
    <s v="BM"/>
    <s v="Consolidación y Administración de Áreas Protegidas  P092202"/>
    <s v="Mejorar la seguridad de la teneduria de tierra y las transacciones, a traves de proveer servicios seguros, y equitativos de la tierra, para facilitar las inversiones y el uso eficiente de la mism                              "/>
    <s v="Usulutan, Jucuaran, Jiquilisco, Puerto el Triunfo, Jiqulisco, Tecoluca, "/>
    <n v="4"/>
    <n v="13400000"/>
    <s v="MARN  - CNR"/>
    <n v="13400000"/>
    <x v="147"/>
    <x v="11"/>
    <x v="0"/>
    <x v="0"/>
    <m/>
    <m/>
  </r>
  <r>
    <x v="4"/>
    <s v="BM"/>
    <s v="Fortalecimiento de gobierno local   P118026"/>
    <s v="Mejorar los procesos administrativos, financieros y tecnicos,de los sistemas de gobiernos locales para proveer servicios basicos      "/>
    <s v="Nacional "/>
    <n v="0"/>
    <n v="85000000"/>
    <s v="Subsecretaria para desarrollo Local y territorial"/>
    <n v="85000000"/>
    <x v="148"/>
    <x v="11"/>
    <x v="0"/>
    <x v="0"/>
    <m/>
    <m/>
  </r>
  <r>
    <x v="0"/>
    <s v="BCIE"/>
    <s v="Plan de Agricultura Familiar y Emprendedurismo Rural para la Seguridad Alimentaria y Nutricional"/>
    <s v="financiar parcialmente el programa “Plan de Agricultura Familiar y Emprendedurismo Rural para la Seguridad Alimentaria y Nutricional (PAF)"/>
    <s v="Nacional"/>
    <n v="0"/>
    <m/>
    <s v="MAG"/>
    <n v="60000000"/>
    <x v="149"/>
    <x v="0"/>
    <x v="0"/>
    <x v="0"/>
    <m/>
    <m/>
  </r>
  <r>
    <x v="0"/>
    <s v="BCIE"/>
    <s v="Caja de Crédito de Zacatecoluca. IFNB"/>
    <s v="Financiar exclusivamente operaciones que se enmarquen dentro de cualquiera de los programas de crédito intermediado del BCIE,'"/>
    <s v="Zacatecoluca"/>
    <n v="3"/>
    <m/>
    <s v="PRIVADO"/>
    <n v="750000"/>
    <x v="150"/>
    <x v="0"/>
    <x v="26"/>
    <x v="12"/>
    <m/>
    <m/>
  </r>
  <r>
    <x v="0"/>
    <s v="BCIE"/>
    <s v="Caja de Crédito de Usulután. IFNB"/>
    <s v="enfocada a contribuir con el crecimiento de la colocación de recursos hacia el micro y pequeño empresario y las municipalidades, que de acuerdo con su orientación estratégica conforma su giro de negocio, así como apoyar con ello el desarrollo de este sector en el país."/>
    <s v="Usulután"/>
    <n v="4"/>
    <m/>
    <s v="PRIVADO"/>
    <n v="1500000"/>
    <x v="122"/>
    <x v="0"/>
    <x v="0"/>
    <x v="0"/>
    <m/>
    <m/>
  </r>
  <r>
    <x v="4"/>
    <s v="BCIE"/>
    <s v="Ampliación de la Carretera al Puerto La Libertad Tramos II y III y construcción de los puentes Arce y Anguiatú en las fronteras entre El Salvador y Guatemala de La Hachadura y Anguiatú"/>
    <s v="Proyectos de Ampliación de la Carretera al Puerto de La Libertad Tramos II y III y Construcción de los Puentes sobre los Ríos Anguiatú y Paz en las Fronteras de Anguiatú y La Hachadura entre El Salvador y Guatemala, que consiste en el diseño y construcción de 4 proyectos viales conformados por dos (2) puentes fronterizos y dos (2) tramos carreteros. Los puentes serán desarrollados en la zona occidental del país, en puntos fronterizos con Guatemala; y los tramos carreteros son parte de la ruta CA-4,carretera que conduce hacia el Puerto de La Libertad, desde la zona central del país"/>
    <s v="La Libertad y Frontera con Guatemala"/>
    <s v="1,2"/>
    <m/>
    <m/>
    <n v="144700000"/>
    <x v="1"/>
    <x v="1"/>
    <x v="27"/>
    <x v="12"/>
    <m/>
    <m/>
  </r>
  <r>
    <x v="4"/>
    <s v="BCIE"/>
    <s v="Programa de Desarrollo y Sostenimiento Aéreo y Marítimo Portuario"/>
    <s v="Ejecución del Programa de Desarrollo y Sostenimiento Aéreo y Marítimo Portuario en la República de El Salvador. El proyecto comprende proyectos de infraestructura y equipamiento"/>
    <s v="Comalapa"/>
    <n v="3"/>
    <m/>
    <s v="CEPA"/>
    <n v="92160000"/>
    <x v="151"/>
    <x v="0"/>
    <x v="0"/>
    <x v="0"/>
    <m/>
    <m/>
  </r>
  <r>
    <x v="4"/>
    <s v="BID"/>
    <s v="ES-L1085 : Mejoramiento Corredor Pacifico Mesoamerica"/>
    <s v="El Proyecto Financiará El Mejoramiento De Las Condiciones Físicas Del Corredor Pacifico Mesoamericano. "/>
    <s v="Litoral salvadoreño"/>
    <s v="1,2,3,4,5"/>
    <m/>
    <s v="MOPTVDU"/>
    <n v="155000000"/>
    <x v="1"/>
    <x v="1"/>
    <x v="28"/>
    <x v="1"/>
    <m/>
    <m/>
  </r>
  <r>
    <x v="0"/>
    <s v="BID"/>
    <s v="ES-L1075 : Programa de Corredores Productivos"/>
    <s v="Componente I: Desarrollo Productivo Para La Competitividad De Mipymes Componente Ii: Inversiones Productivas Y Logísticas Para La Competitividadcomponente Iii: Sostenibilidad Ambiental De La Franja Costero-marítima Componente Iv: Fortalecimiento Institucionalcomponente Iii: Sostenibilidad Ambiental De La Franja Costero-marítima"/>
    <s v="Franja costero Marina"/>
    <s v="1,2,3,4,5"/>
    <m/>
    <s v="MOPTVDU"/>
    <n v="30000000"/>
    <x v="1"/>
    <x v="1"/>
    <x v="29"/>
    <x v="1"/>
    <m/>
    <m/>
  </r>
  <r>
    <x v="0"/>
    <s v="BID"/>
    <s v="ES-T1179 : Modelo de Desarrollo Integral en el municipio de Concepción Batres"/>
    <s v="Componente I: Desarrollo Productivo Para La Competitividad De Mipymes Componente II: Inversiones Productivas Y Logísticas Para La Competitividadcomponente Iii: Sostenibilidad Ambiental De La Franja Costero-marítima Componente Iv: Fortalecimiento Institucionalcomponente Iii: Sostenibilidad Ambiental De La Franja Costero-marítima"/>
    <s v="Concepción Batres"/>
    <n v="4"/>
    <m/>
    <s v="FUSADES"/>
    <n v="320000"/>
    <x v="152"/>
    <x v="28"/>
    <x v="0"/>
    <x v="0"/>
    <m/>
    <m/>
  </r>
  <r>
    <x v="0"/>
    <s v="UNION EUROPEA"/>
    <s v="Sistema Nacional de Calidad "/>
    <s v="El programa de Fortalecimiento de la Cohesión Social en el Sector Educativo de El Salvador, en su componente III: Fortalecimiento de la Educación Media Técnica, desarrolla una transformacion educativa integral de 10 Bachilleratos Técnicos vocacionale considerados como estrategicos para el desarrollo de la población, cuyas especialidades serán en las áreas de agroindustria, cultura, mecanica general, mecanica automotriz, comercio, turismo, salud, electrónica, desarrollo de software y tecnoligía de información y comunicación"/>
    <s v="Usulután, Jiquilisco, Pto. El Triunfo, Santa Rosa de Lima, La Unión, El Transito, Zacatecoluca, San Juan Tepezontes, Santiago Nonualco, San Luis Talpa, Sonsonate, Izalco, Acajutla, Juayua y Sonzacate"/>
    <n v="0"/>
    <m/>
    <s v="MINEC"/>
    <n v="47190000"/>
    <x v="153"/>
    <x v="19"/>
    <x v="0"/>
    <x v="0"/>
    <m/>
    <m/>
  </r>
  <r>
    <x v="5"/>
    <m/>
    <m/>
    <m/>
    <m/>
    <m/>
    <m/>
    <m/>
    <m/>
    <x v="1"/>
    <x v="1"/>
    <x v="0"/>
    <x v="0"/>
    <m/>
    <m/>
  </r>
  <r>
    <x v="5"/>
    <m/>
    <m/>
    <m/>
    <m/>
    <m/>
    <m/>
    <m/>
    <m/>
    <x v="1"/>
    <x v="1"/>
    <x v="0"/>
    <x v="0"/>
    <m/>
    <m/>
  </r>
  <r>
    <x v="5"/>
    <m/>
    <m/>
    <m/>
    <m/>
    <m/>
    <m/>
    <m/>
    <m/>
    <x v="1"/>
    <x v="1"/>
    <x v="0"/>
    <x v="0"/>
    <m/>
    <m/>
  </r>
  <r>
    <x v="5"/>
    <m/>
    <m/>
    <m/>
    <m/>
    <m/>
    <m/>
    <m/>
    <m/>
    <x v="1"/>
    <x v="1"/>
    <x v="0"/>
    <x v="0"/>
    <m/>
    <m/>
  </r>
  <r>
    <x v="5"/>
    <m/>
    <m/>
    <m/>
    <m/>
    <m/>
    <m/>
    <m/>
    <m/>
    <x v="1"/>
    <x v="1"/>
    <x v="0"/>
    <x v="0"/>
    <m/>
    <m/>
  </r>
</pivotCacheRecords>
</file>

<file path=xl/pivotCache/pivotCacheRecords2.xml><?xml version="1.0" encoding="utf-8"?>
<pivotCacheRecords xmlns="http://schemas.openxmlformats.org/spreadsheetml/2006/main" xmlns:r="http://schemas.openxmlformats.org/officeDocument/2006/relationships" count="222">
  <r>
    <x v="0"/>
    <s v="MAG "/>
    <s v="Desarrollo de la Cadena Avicola"/>
    <s v="Fomento de la producción y comercialización de camarón, tilapia y moluscos, con establecimiento de Centros de Desarrollo Productivo(CDP), Escuelas de Campo (ECAS) y Centros de Acopio y Servicios (CAS); para mejorar los niveles de rentabilidad y las condiciones de vida de los productores (as) acuícolas. "/>
    <s v="Departamento: Ahuachapan, Municipios: Ahuachapán, Atiquizaya, Guaymango, Jujutla y SanFrancisco Menéndez, Departamento: Sonsonate, Municipios: Acajutla, Caluco e Izalco; Departamento: La Paz, Municipios: Zacatecoluca, San Luís La Herradura; Departamento: Usulután, Municipios: Usulután, Jiquilisco y Jucuarán. Departamento: La Unión, Municipios: La Unión y Meanguera del Golfo. "/>
    <n v="1"/>
    <n v="657936"/>
    <s v="CENDEPESCA "/>
    <m/>
    <x v="0"/>
  </r>
  <r>
    <x v="0"/>
    <s v="MAG "/>
    <m/>
    <m/>
    <m/>
    <n v="3"/>
    <n v="164484"/>
    <s v="CENDEPESCA "/>
    <m/>
    <x v="1"/>
  </r>
  <r>
    <x v="0"/>
    <s v="MAG "/>
    <m/>
    <m/>
    <m/>
    <n v="4"/>
    <n v="246726"/>
    <s v="CENDEPESCA "/>
    <m/>
    <x v="1"/>
  </r>
  <r>
    <x v="0"/>
    <s v="MAG "/>
    <m/>
    <m/>
    <m/>
    <n v="5"/>
    <n v="164484"/>
    <s v="CENDEPESCA "/>
    <m/>
    <x v="1"/>
  </r>
  <r>
    <x v="0"/>
    <s v="MAG "/>
    <s v="Mejoramiento de la Producción y Extensión de la Tecnología de Acuicultura de Moluscos "/>
    <s v="Masificar la producción de semilla de ostras y conchas para atender demandas de productores; desarrollar técnica de producción de semilla de casco de burro, y consolidar el encadenamiento de la producción y comercialización de moluscos "/>
    <s v="Departamento: La Unión, Municipios: La Unión  y   Meanguera del Golfo "/>
    <n v="5"/>
    <n v="2668488"/>
    <s v="CENDEPESCA "/>
    <m/>
    <x v="2"/>
  </r>
  <r>
    <x v="0"/>
    <s v="CENTA "/>
    <s v="Producción intensiva de hortalizas en casas mallas."/>
    <s v="Se han construido 4 casas mallas para la producción hortícula en la producción hortícula en la cooperativa Los Ensayos "/>
    <s v="Jiquilisco"/>
    <n v="4"/>
    <n v="101882"/>
    <s v="MAG - CENTA "/>
    <n v="101882"/>
    <x v="3"/>
  </r>
  <r>
    <x v="0"/>
    <s v="CENTA "/>
    <s v="Mejora la productividad agricola en pequños agricultures en municipios de la zona occidental de El Salvador"/>
    <s v="Inventario de productores a ser beneficiados con el proyecto y construcción de la línea base "/>
    <s v="Jujutla "/>
    <n v="1"/>
    <n v="85000"/>
    <s v="CENTA "/>
    <n v="85000"/>
    <x v="4"/>
  </r>
  <r>
    <x v="0"/>
    <s v="CENTA "/>
    <s v="Cadena de Granos Básicos "/>
    <s v="Asistencia técnica, capacitación, transferencia de Tecnología en granos básicos a productores y productoras individuales, organizados en grupo de interés constituidos legalmente a nivel Nacional. "/>
    <s v="San Francisco Menéndez, Jujutla, Guaymango, Izalco, San Antonio del Monte, Cuisnahuat, Sonsonate, Sta. Isabel Ishuatan, Nahuilingo, Nahuizalco, San Julian, San Pedro Masahuat, San Luís Talpa, Santiago Nonualco, San Rafael Obrajuelo, San Pedro Nonualco, Tecoluca, Puerto de La Libertad, Chiltiupan, San José Villanueva, Jiquilisco, San Agustín, Ozatlan, Santa Elena,Usulután, Concepción Batres, Conchagua, La Unión, San Alejo, El Carmen. "/>
    <n v="1"/>
    <n v="670683"/>
    <s v="CENTA "/>
    <n v="1599321"/>
    <x v="5"/>
  </r>
  <r>
    <x v="0"/>
    <s v="CENTA "/>
    <m/>
    <m/>
    <m/>
    <n v="3"/>
    <n v="361137"/>
    <m/>
    <m/>
    <x v="1"/>
  </r>
  <r>
    <x v="0"/>
    <s v="CENTA "/>
    <m/>
    <m/>
    <m/>
    <n v="4"/>
    <n v="361137"/>
    <m/>
    <m/>
    <x v="1"/>
  </r>
  <r>
    <x v="0"/>
    <s v="CENTA "/>
    <s v="Cadena de Hortalizas "/>
    <s v="Asistencia Técnica, capacitación, transferencia de Tecnología en cultivos de hortalizas (tomate, chile, pepino, cebolla, ejote) a productores u productoras individuales, organizados en grupos de interés o constituidos legalmente a nivel Nacional. "/>
    <s v="Izalco, San Antonio del Monte, Caluco, Nahuizalco, Santo Domingo de Guzmán, Sam Pedro Masahuat, Olocuilta, Tecoluca, Jiquilisco, Usulután, Puerto El Triunfo, Santa Elena, Santa María, La Unión. "/>
    <s v="1,3,4,5"/>
    <m/>
    <s v="CENTA "/>
    <n v="303898"/>
    <x v="6"/>
  </r>
  <r>
    <x v="0"/>
    <s v="CENTA "/>
    <s v="Cadena de Frutas "/>
    <s v="Asistencia Técnica, capacitación, transferencia de Tecnología en cultivos frutales (Mango, Papaya,) cítricos, musaceas a productores y  productoras individuales, organizados en grupos de interés o constituidos legalmente a nivel Nacional. "/>
    <s v="Jujutla, Guaymango, Izalco, San Antonio del Monte, Acajutla, Sonsonate, San Pedro Masahuat, Santiago Nonualco, San Luís La Herradura, Tecoluca, Usulután, Concepciçón Batres, San Francisco Javier, San Dionisio, Jiquilisco, El Tránsito, Conchagua"/>
    <s v="1,3,4,5"/>
    <m/>
    <s v="CENTA "/>
    <n v="524295"/>
    <x v="7"/>
  </r>
  <r>
    <x v="0"/>
    <s v="CENTA "/>
    <s v="Cadena Cacao "/>
    <s v="Asistencia Técnica, capacitación, transferencia de Tecnología  a productores y  productoras individuales, organizados en grupos de interés o constituidos legalmente a nivel Nacional. "/>
    <s v="Izalco, Nahuilingo, San Pedro Nonualco, Concepción Batres."/>
    <s v="1,3,4"/>
    <m/>
    <s v="CENTA "/>
    <n v="148115"/>
    <x v="8"/>
  </r>
  <r>
    <x v="0"/>
    <s v="CENTA "/>
    <s v="Proyecto de Préstamo de Financiamiento al Plan de Agricultura Familiar - Componente Seguridad Alimentaria y Nutricional "/>
    <s v="Incrementar la disponibilidad acceso al consumo de los alimentod a través de la mejora de los sistemas de producción de las familias en condiciones de subsistencia del área rural."/>
    <s v="Guaymango, Caluco, Cuisnahuat, Santo Domingo de Guzmaán, San Agustin, Santa Catarina Masahuat, Santa Isabel Ishuatan, Chiltiupan, Comasagua, Jicalapa, Teotepeque, San Juan Tepezontes, Concepción Batres, Jucuarán, Ozatlán, San Francisco Javier, Santa Elena,Tecapan, San Jorge, Huizucar, Tamanique, Panchimalco, Rosario de Mora, Tecoluca, Conchagua, Zaragoza, Cuyultitán, El Rosario La Paz, San Juan Talpa, San Luís Talpa, San Pedro Masahuat, Zacatecoluca, EL Tránsito, Pasaquina. "/>
    <s v="1,2,3,4,5"/>
    <m/>
    <s v="CENTA "/>
    <n v="2206400"/>
    <x v="9"/>
  </r>
  <r>
    <x v="0"/>
    <s v="CENTA "/>
    <s v="&quot;Fortalecimiento de la Agricultura Familiar Aplicando Tecnologías ante el Cambio Climático en El Salvador. "/>
    <s v="El proyecto apoyará a familias productoras del programa PAF Seguridad Alimentaria, PAF Encadenamiento Productivo. "/>
    <s v="Componente 2  Fortalecimiento de la Cadena de granos Básicos. Todos los Municipios a nivel nacional "/>
    <n v="0"/>
    <m/>
    <s v="CENTA "/>
    <n v="1563541.46"/>
    <x v="10"/>
  </r>
  <r>
    <x v="0"/>
    <s v="DGEA "/>
    <s v="Fortalecimiento de las capacidades productivas de productores de hortalizas y frutas, en 46 municipios de 10 Departamentosatendidos por el programa PAF Cadenas Productivas del Plan de Agricultura Familiar "/>
    <s v="El proyecto tiene como finalidad contribuir a la puesta en marcha del Plan de Agricultura Familiar (PAF) MAG, su contribuición será especificamente dirigido al Programa PAF Cadenas Productivas, cuyo objetivos principal es la incorporación del segmento de agricultura familiar comercial, en sistemas estructurados que consoliden la oferta y satisfagan las eexigencias de la demanda. Para ello se incrementará la productividad y competitividad por medio de la creación  y fortalecimiento de capacidades técnicas y de gestión empresarial de los actores en casa eslabón de la cadena "/>
    <s v="SAN FRANCISCO_x000a_MELENDEZ"/>
    <s v="1,2,3,4,5"/>
    <m/>
    <s v="Dirección General de Economía Agropecuaria"/>
    <n v="1221339.1399999999"/>
    <x v="11"/>
  </r>
  <r>
    <x v="0"/>
    <s v="DGEA "/>
    <m/>
    <m/>
    <s v="CUYULTITAN"/>
    <m/>
    <m/>
    <m/>
    <n v="59471.77"/>
    <x v="12"/>
  </r>
  <r>
    <x v="0"/>
    <s v="DGEA "/>
    <m/>
    <m/>
    <s v="SAN LUIS TALPA"/>
    <m/>
    <m/>
    <m/>
    <n v="30814.98"/>
    <x v="13"/>
  </r>
  <r>
    <x v="0"/>
    <s v="DGEA "/>
    <m/>
    <m/>
    <s v="SAN PEDRO NONUALCO"/>
    <m/>
    <m/>
    <m/>
    <n v="59471.77"/>
    <x v="12"/>
  </r>
  <r>
    <x v="0"/>
    <s v="DGEA "/>
    <m/>
    <m/>
    <s v="ZACATECOLUCA"/>
    <m/>
    <m/>
    <m/>
    <n v="59471.75"/>
    <x v="14"/>
  </r>
  <r>
    <x v="0"/>
    <s v="DGEA "/>
    <m/>
    <m/>
    <s v="EL TRANSITO"/>
    <m/>
    <m/>
    <m/>
    <n v="15727.64"/>
    <x v="15"/>
  </r>
  <r>
    <x v="0"/>
    <s v="DGEA "/>
    <m/>
    <m/>
    <s v="TECOLUCA"/>
    <m/>
    <m/>
    <m/>
    <n v="102609.72"/>
    <x v="16"/>
  </r>
  <r>
    <x v="0"/>
    <s v="DGEA "/>
    <m/>
    <m/>
    <s v="IZALCO"/>
    <m/>
    <m/>
    <m/>
    <n v="57706.46"/>
    <x v="17"/>
  </r>
  <r>
    <x v="0"/>
    <s v="DGEA "/>
    <m/>
    <m/>
    <s v="NAHIULINGO"/>
    <m/>
    <m/>
    <m/>
    <n v="59471.77"/>
    <x v="12"/>
  </r>
  <r>
    <x v="0"/>
    <s v="DGEA "/>
    <m/>
    <m/>
    <s v="NAHUIZALCO"/>
    <m/>
    <m/>
    <m/>
    <n v="6362.92"/>
    <x v="18"/>
  </r>
  <r>
    <x v="0"/>
    <s v="DGEA "/>
    <m/>
    <m/>
    <s v="SAN ANTONIO _x000a_DEL MONTE"/>
    <m/>
    <m/>
    <m/>
    <n v="6362.92"/>
    <x v="18"/>
  </r>
  <r>
    <x v="0"/>
    <s v="DGEA "/>
    <m/>
    <m/>
    <s v="SONSONATE"/>
    <m/>
    <m/>
    <m/>
    <n v="45902.400000000001"/>
    <x v="19"/>
  </r>
  <r>
    <x v="0"/>
    <s v="DGEA "/>
    <m/>
    <m/>
    <s v="CONCEPCION BATRES"/>
    <m/>
    <m/>
    <m/>
    <n v="15727.63"/>
    <x v="20"/>
  </r>
  <r>
    <x v="0"/>
    <s v="DGEA "/>
    <m/>
    <m/>
    <s v="Jiquilisco"/>
    <m/>
    <m/>
    <m/>
    <n v="80597.09"/>
    <x v="21"/>
  </r>
  <r>
    <x v="0"/>
    <s v="DGEA "/>
    <m/>
    <m/>
    <s v="USULUTAN"/>
    <m/>
    <m/>
    <m/>
    <n v="27531.75"/>
    <x v="22"/>
  </r>
  <r>
    <x v="0"/>
    <s v="DGEA "/>
    <s v="Fomento a la producción y productividad en los cultivos de granos básicos, hortalizas y frutales en El Salvador"/>
    <s v="Incremento de la competitividad del sector agropecuario y pesquero mediante el establecimiento de equipo y aprovechamiento de información agroclimática"/>
    <s v="San Francisco Melendez"/>
    <m/>
    <m/>
    <s v="Dirección General de Economía Agropecuaria"/>
    <n v="33612.1"/>
    <x v="23"/>
  </r>
  <r>
    <x v="0"/>
    <s v="DGEA "/>
    <m/>
    <m/>
    <s v="La Libertad"/>
    <m/>
    <m/>
    <m/>
    <n v="15161.68"/>
    <x v="24"/>
  </r>
  <r>
    <x v="0"/>
    <s v="DGEA "/>
    <m/>
    <m/>
    <s v="Acajutla"/>
    <m/>
    <m/>
    <m/>
    <n v="48773.760000000002"/>
    <x v="25"/>
  </r>
  <r>
    <x v="0"/>
    <s v="DGEA "/>
    <m/>
    <m/>
    <s v="San Juan Tepezontes"/>
    <m/>
    <m/>
    <m/>
    <n v="7767.38"/>
    <x v="26"/>
  </r>
  <r>
    <x v="0"/>
    <s v="DGEA "/>
    <m/>
    <m/>
    <s v="Usulután"/>
    <m/>
    <m/>
    <m/>
    <n v="22929.07"/>
    <x v="27"/>
  </r>
  <r>
    <x v="0"/>
    <s v="DGEA "/>
    <m/>
    <m/>
    <s v="TECOLUCA"/>
    <m/>
    <m/>
    <m/>
    <n v="1534.78"/>
    <x v="28"/>
  </r>
  <r>
    <x v="0"/>
    <s v="DGEA "/>
    <m/>
    <m/>
    <s v="La Unión"/>
    <m/>
    <m/>
    <m/>
    <n v="22929.07"/>
    <x v="27"/>
  </r>
  <r>
    <x v="0"/>
    <s v="DGEA "/>
    <s v="ENTREGA DE PAQUETES AGRICOLAS A PRODUCTORES DE PROGRAMA 1 DEL PLAN DE AGRICULTURA FAMILIAR (SEGURIDAD ALIMENTARIA)"/>
    <s v="Entrega de 100 libras de fertilizantes 16-20-0 y 22 lbde semilla de maiz, adicionalmente se entregarán 20 lb de semilla de frijol (pendiente aprobacion)"/>
    <s v="APANECA"/>
    <m/>
    <m/>
    <s v="Dirección General de Economía Agropecuaria"/>
    <n v="18390"/>
    <x v="29"/>
  </r>
  <r>
    <x v="0"/>
    <s v="DGEA "/>
    <m/>
    <m/>
    <s v="GUAYMANGO"/>
    <m/>
    <m/>
    <m/>
    <n v="297870"/>
    <x v="30"/>
  </r>
  <r>
    <x v="0"/>
    <s v="DGEA "/>
    <m/>
    <m/>
    <s v="JUJUTLA"/>
    <m/>
    <m/>
    <m/>
    <n v="303810"/>
    <x v="31"/>
  </r>
  <r>
    <x v="0"/>
    <s v="DGEA "/>
    <m/>
    <m/>
    <s v="SAN FRANCISCO"/>
    <m/>
    <m/>
    <m/>
    <n v="418950"/>
    <x v="32"/>
  </r>
  <r>
    <x v="0"/>
    <s v="DGEA "/>
    <m/>
    <m/>
    <s v="SAN PEDRO PUXTLA"/>
    <m/>
    <m/>
    <m/>
    <n v="104010"/>
    <x v="33"/>
  </r>
  <r>
    <x v="0"/>
    <s v="DGEA "/>
    <m/>
    <m/>
    <s v="CHILTIUPAN"/>
    <m/>
    <m/>
    <m/>
    <n v="84390"/>
    <x v="34"/>
  </r>
  <r>
    <x v="0"/>
    <s v="DGEA "/>
    <m/>
    <m/>
    <s v="COMASAGUA"/>
    <m/>
    <m/>
    <m/>
    <n v="103170"/>
    <x v="35"/>
  </r>
  <r>
    <x v="0"/>
    <s v="DGEA "/>
    <m/>
    <m/>
    <s v="HUIZUCAR"/>
    <m/>
    <m/>
    <m/>
    <n v="148650"/>
    <x v="36"/>
  </r>
  <r>
    <x v="0"/>
    <s v="DGEA "/>
    <m/>
    <m/>
    <s v="JUCALAPA"/>
    <m/>
    <m/>
    <m/>
    <n v="124980"/>
    <x v="37"/>
  </r>
  <r>
    <x v="0"/>
    <s v="DGEA "/>
    <m/>
    <m/>
    <s v="LA LIBERTAD"/>
    <m/>
    <m/>
    <m/>
    <n v="243570"/>
    <x v="38"/>
  </r>
  <r>
    <x v="0"/>
    <s v="DGEA "/>
    <m/>
    <m/>
    <s v="SAN JOSE VILLANUEVA"/>
    <m/>
    <m/>
    <m/>
    <n v="85800"/>
    <x v="39"/>
  </r>
  <r>
    <x v="0"/>
    <s v="DGEA "/>
    <m/>
    <m/>
    <s v="TAMANIQUE"/>
    <m/>
    <m/>
    <m/>
    <n v="141510"/>
    <x v="40"/>
  </r>
  <r>
    <x v="0"/>
    <s v="DGEA "/>
    <m/>
    <m/>
    <s v="TEOTEPEQUE"/>
    <m/>
    <m/>
    <m/>
    <n v="146250"/>
    <x v="41"/>
  </r>
  <r>
    <x v="0"/>
    <s v="DGEA "/>
    <m/>
    <m/>
    <s v="ZARAGOZA"/>
    <m/>
    <m/>
    <m/>
    <n v="83730"/>
    <x v="42"/>
  </r>
  <r>
    <x v="0"/>
    <s v="DGEA "/>
    <m/>
    <m/>
    <s v="CUYULTITAN"/>
    <m/>
    <m/>
    <m/>
    <n v="47010"/>
    <x v="43"/>
  </r>
  <r>
    <x v="0"/>
    <s v="DGEA "/>
    <m/>
    <m/>
    <s v="OLOCUILTA"/>
    <m/>
    <m/>
    <m/>
    <n v="100620"/>
    <x v="44"/>
  </r>
  <r>
    <x v="0"/>
    <s v="DGEA "/>
    <m/>
    <m/>
    <s v="SAN ANTONIO "/>
    <m/>
    <m/>
    <m/>
    <n v="37950"/>
    <x v="45"/>
  </r>
  <r>
    <x v="0"/>
    <s v="DGEA "/>
    <m/>
    <m/>
    <s v="SAN FRANCISCO"/>
    <m/>
    <m/>
    <m/>
    <n v="24060"/>
    <x v="46"/>
  </r>
  <r>
    <x v="0"/>
    <s v="DGEA "/>
    <m/>
    <m/>
    <s v="SAN JUAN NONUALCO"/>
    <m/>
    <m/>
    <m/>
    <n v="91830"/>
    <x v="47"/>
  </r>
  <r>
    <x v="0"/>
    <s v="DGEA "/>
    <m/>
    <m/>
    <s v="SAN JUAN TALPA"/>
    <m/>
    <m/>
    <m/>
    <n v="33930"/>
    <x v="48"/>
  </r>
  <r>
    <x v="0"/>
    <s v="DGEA "/>
    <m/>
    <m/>
    <s v="SAN JUAN TEPEZONTES"/>
    <m/>
    <m/>
    <m/>
    <n v="40680"/>
    <x v="49"/>
  </r>
  <r>
    <x v="0"/>
    <s v="DGEA "/>
    <m/>
    <m/>
    <s v="SAN LUIS LA HERRADURA"/>
    <m/>
    <m/>
    <m/>
    <n v="86010"/>
    <x v="50"/>
  </r>
  <r>
    <x v="0"/>
    <s v="DGEA "/>
    <m/>
    <m/>
    <s v="SAN LUIS TALPA"/>
    <m/>
    <m/>
    <m/>
    <n v="203010"/>
    <x v="51"/>
  </r>
  <r>
    <x v="0"/>
    <s v="DGEA "/>
    <m/>
    <m/>
    <s v="SAN MIGUEL TEPEZONTES"/>
    <m/>
    <m/>
    <m/>
    <n v="40020"/>
    <x v="52"/>
  </r>
  <r>
    <x v="0"/>
    <s v="DGEA "/>
    <m/>
    <m/>
    <s v="SAN PEDRO MASAHUAT"/>
    <m/>
    <m/>
    <m/>
    <n v="160680"/>
    <x v="53"/>
  </r>
  <r>
    <x v="0"/>
    <s v="DGEA "/>
    <m/>
    <m/>
    <s v="SAN PEDRO NONUALCO"/>
    <m/>
    <m/>
    <m/>
    <n v="81150"/>
    <x v="54"/>
  </r>
  <r>
    <x v="0"/>
    <s v="DGEA "/>
    <m/>
    <m/>
    <s v="SAN RAFAEL OBRAJUELO"/>
    <m/>
    <m/>
    <m/>
    <n v="29790"/>
    <x v="55"/>
  </r>
  <r>
    <x v="0"/>
    <s v="DGEA "/>
    <m/>
    <m/>
    <s v="SANTIAGO NONUALCO"/>
    <m/>
    <m/>
    <m/>
    <n v="245160"/>
    <x v="56"/>
  </r>
  <r>
    <x v="0"/>
    <s v="DGEA "/>
    <m/>
    <m/>
    <s v="TAPALHUACA"/>
    <m/>
    <m/>
    <m/>
    <n v="40770"/>
    <x v="57"/>
  </r>
  <r>
    <x v="0"/>
    <s v="DGEA "/>
    <m/>
    <m/>
    <s v="ZACATECOLUCA"/>
    <m/>
    <m/>
    <m/>
    <n v="374820"/>
    <x v="58"/>
  </r>
  <r>
    <x v="0"/>
    <s v="DGEA "/>
    <m/>
    <m/>
    <s v="CONCHAGUA"/>
    <m/>
    <m/>
    <m/>
    <n v="377610"/>
    <x v="59"/>
  </r>
  <r>
    <x v="0"/>
    <s v="DGEA "/>
    <m/>
    <m/>
    <s v="EL CARMEN"/>
    <m/>
    <m/>
    <m/>
    <n v="136440"/>
    <x v="60"/>
  </r>
  <r>
    <x v="0"/>
    <s v="DGEA "/>
    <m/>
    <m/>
    <s v="INTUPUCA"/>
    <m/>
    <m/>
    <m/>
    <n v="92160"/>
    <x v="61"/>
  </r>
  <r>
    <x v="0"/>
    <s v="DGEA "/>
    <m/>
    <m/>
    <s v="LA UNION"/>
    <m/>
    <m/>
    <m/>
    <n v="184200"/>
    <x v="62"/>
  </r>
  <r>
    <x v="0"/>
    <s v="DGEA "/>
    <m/>
    <m/>
    <s v="MEANGUERA DEL GOLFO"/>
    <m/>
    <m/>
    <m/>
    <n v="47220"/>
    <x v="63"/>
  </r>
  <r>
    <x v="0"/>
    <s v="DGEA "/>
    <m/>
    <m/>
    <s v="PASAQUINA"/>
    <m/>
    <m/>
    <m/>
    <n v="84210"/>
    <x v="64"/>
  </r>
  <r>
    <x v="0"/>
    <s v="DGEA "/>
    <m/>
    <m/>
    <s v="SAN ALEJO"/>
    <m/>
    <m/>
    <m/>
    <n v="260010"/>
    <x v="65"/>
  </r>
  <r>
    <x v="0"/>
    <s v="DGEA "/>
    <m/>
    <m/>
    <s v="SANTA ROSA DE LIMA"/>
    <m/>
    <m/>
    <m/>
    <n v="138120"/>
    <x v="66"/>
  </r>
  <r>
    <x v="0"/>
    <s v="DGEA "/>
    <m/>
    <m/>
    <s v="CHIRILAGUA"/>
    <m/>
    <m/>
    <m/>
    <n v="288540"/>
    <x v="67"/>
  </r>
  <r>
    <x v="0"/>
    <s v="DGEA "/>
    <m/>
    <m/>
    <s v="EL TRANSITO"/>
    <m/>
    <m/>
    <m/>
    <n v="133230"/>
    <x v="68"/>
  </r>
  <r>
    <x v="0"/>
    <s v="DGEA "/>
    <m/>
    <m/>
    <s v="SAN JORGE"/>
    <m/>
    <m/>
    <m/>
    <n v="157410"/>
    <x v="69"/>
  </r>
  <r>
    <x v="0"/>
    <s v="DGEA "/>
    <m/>
    <m/>
    <s v="SAN RAFAEL ORIENTE"/>
    <m/>
    <m/>
    <m/>
    <n v="109770"/>
    <x v="70"/>
  </r>
  <r>
    <x v="0"/>
    <s v="DGEA "/>
    <m/>
    <m/>
    <s v="PANCHIMALCO"/>
    <m/>
    <m/>
    <m/>
    <n v="212130"/>
    <x v="71"/>
  </r>
  <r>
    <x v="0"/>
    <s v="DGEA "/>
    <m/>
    <m/>
    <s v="ROSARIO DE MORA"/>
    <m/>
    <m/>
    <m/>
    <n v="125130"/>
    <x v="72"/>
  </r>
  <r>
    <x v="0"/>
    <s v="DGEA "/>
    <m/>
    <m/>
    <s v="TECOLUCA"/>
    <m/>
    <m/>
    <m/>
    <n v="309420"/>
    <x v="73"/>
  </r>
  <r>
    <x v="0"/>
    <s v="DGEA "/>
    <m/>
    <m/>
    <s v="ACAJUTLA"/>
    <m/>
    <m/>
    <m/>
    <n v="356220"/>
    <x v="74"/>
  </r>
  <r>
    <x v="0"/>
    <s v="DGEA "/>
    <m/>
    <m/>
    <s v="CALUCO"/>
    <m/>
    <m/>
    <m/>
    <n v="102390"/>
    <x v="75"/>
  </r>
  <r>
    <x v="0"/>
    <s v="DGEA "/>
    <m/>
    <m/>
    <s v="CUISNAHUAT"/>
    <m/>
    <m/>
    <m/>
    <n v="157200"/>
    <x v="76"/>
  </r>
  <r>
    <x v="0"/>
    <s v="DGEA "/>
    <m/>
    <m/>
    <s v="IZALCO"/>
    <m/>
    <m/>
    <m/>
    <n v="475680"/>
    <x v="77"/>
  </r>
  <r>
    <x v="0"/>
    <s v="DGEA "/>
    <m/>
    <m/>
    <s v="JUAYUA"/>
    <m/>
    <m/>
    <m/>
    <n v="30000"/>
    <x v="78"/>
  </r>
  <r>
    <x v="0"/>
    <s v="DGEA "/>
    <m/>
    <m/>
    <s v="NAHUIZALCO"/>
    <m/>
    <m/>
    <m/>
    <n v="248670"/>
    <x v="79"/>
  </r>
  <r>
    <x v="0"/>
    <s v="DGEA "/>
    <m/>
    <m/>
    <s v="NAHIULINGO"/>
    <m/>
    <m/>
    <m/>
    <n v="102210"/>
    <x v="80"/>
  </r>
  <r>
    <x v="0"/>
    <s v="DGEA "/>
    <m/>
    <m/>
    <s v="SALCOATITAN"/>
    <m/>
    <m/>
    <m/>
    <n v="14430"/>
    <x v="81"/>
  </r>
  <r>
    <x v="0"/>
    <s v="DGEA "/>
    <m/>
    <m/>
    <s v="SAN ANTONIO DEL"/>
    <m/>
    <m/>
    <m/>
    <n v="89160"/>
    <x v="82"/>
  </r>
  <r>
    <x v="0"/>
    <s v="DGEA "/>
    <m/>
    <m/>
    <s v="SAN JULIAN"/>
    <m/>
    <m/>
    <m/>
    <n v="192840"/>
    <x v="83"/>
  </r>
  <r>
    <x v="0"/>
    <s v="DGEA "/>
    <m/>
    <m/>
    <s v="SANTA CATARINA"/>
    <m/>
    <m/>
    <m/>
    <n v="115170"/>
    <x v="84"/>
  </r>
  <r>
    <x v="0"/>
    <s v="DGEA "/>
    <m/>
    <m/>
    <s v="SANTA ISABEL ISAHUATAN"/>
    <m/>
    <m/>
    <m/>
    <n v="144600"/>
    <x v="85"/>
  </r>
  <r>
    <x v="0"/>
    <s v="DGEA "/>
    <m/>
    <m/>
    <s v="SANTO DOMINGO DE"/>
    <m/>
    <m/>
    <m/>
    <n v="75540"/>
    <x v="86"/>
  </r>
  <r>
    <x v="0"/>
    <s v="DGEA "/>
    <m/>
    <m/>
    <s v="SONSONATE"/>
    <m/>
    <m/>
    <m/>
    <n v="278490"/>
    <x v="87"/>
  </r>
  <r>
    <x v="0"/>
    <s v="DGEA "/>
    <m/>
    <m/>
    <s v="SONZACATE"/>
    <m/>
    <m/>
    <m/>
    <n v="22890"/>
    <x v="88"/>
  </r>
  <r>
    <x v="0"/>
    <s v="DGEA "/>
    <m/>
    <m/>
    <s v="CALIFORNIA"/>
    <m/>
    <m/>
    <m/>
    <n v="15030"/>
    <x v="89"/>
  </r>
  <r>
    <x v="0"/>
    <s v="DGEA "/>
    <m/>
    <m/>
    <s v="CONCEPCION BATRES"/>
    <m/>
    <m/>
    <m/>
    <n v="96270"/>
    <x v="90"/>
  </r>
  <r>
    <x v="0"/>
    <s v="DGEA "/>
    <m/>
    <m/>
    <s v="EREGUAYQUIN"/>
    <m/>
    <m/>
    <m/>
    <n v="31890"/>
    <x v="91"/>
  </r>
  <r>
    <x v="0"/>
    <s v="DGEA "/>
    <m/>
    <m/>
    <s v="JIQUILISCO"/>
    <m/>
    <m/>
    <m/>
    <n v="467130"/>
    <x v="92"/>
  </r>
  <r>
    <x v="0"/>
    <s v="DGEA "/>
    <m/>
    <m/>
    <s v="JUCUARAN"/>
    <m/>
    <m/>
    <m/>
    <n v="186210"/>
    <x v="93"/>
  </r>
  <r>
    <x v="0"/>
    <s v="DGEA "/>
    <m/>
    <m/>
    <s v="OZATLAN"/>
    <m/>
    <m/>
    <m/>
    <n v="132870"/>
    <x v="94"/>
  </r>
  <r>
    <x v="0"/>
    <s v="DGEA "/>
    <m/>
    <m/>
    <s v="PUERTO EL TRIUNFO"/>
    <m/>
    <m/>
    <m/>
    <n v="83490"/>
    <x v="95"/>
  </r>
  <r>
    <x v="0"/>
    <s v="DGEA "/>
    <m/>
    <m/>
    <s v="SAN AGUSTIN"/>
    <m/>
    <m/>
    <m/>
    <n v="100320"/>
    <x v="96"/>
  </r>
  <r>
    <x v="0"/>
    <s v="DGEA "/>
    <m/>
    <m/>
    <s v="SAN DIONISIO"/>
    <m/>
    <m/>
    <m/>
    <n v="27000"/>
    <x v="97"/>
  </r>
  <r>
    <x v="0"/>
    <s v="DGEA "/>
    <m/>
    <m/>
    <s v="SAN FRANCISCO JAVIER"/>
    <m/>
    <m/>
    <m/>
    <n v="94890"/>
    <x v="98"/>
  </r>
  <r>
    <x v="0"/>
    <s v="DGEA "/>
    <m/>
    <m/>
    <s v="SANTA ELENA"/>
    <m/>
    <m/>
    <m/>
    <n v="157830"/>
    <x v="99"/>
  </r>
  <r>
    <x v="0"/>
    <s v="DGEA "/>
    <m/>
    <m/>
    <s v="SANTA MARIA"/>
    <m/>
    <m/>
    <m/>
    <n v="44970"/>
    <x v="100"/>
  </r>
  <r>
    <x v="0"/>
    <s v="DGEA "/>
    <m/>
    <m/>
    <s v="TEPECAN"/>
    <m/>
    <m/>
    <m/>
    <n v="83970"/>
    <x v="101"/>
  </r>
  <r>
    <x v="0"/>
    <s v="DGEA "/>
    <m/>
    <m/>
    <s v="USULUTAN"/>
    <m/>
    <m/>
    <m/>
    <n v="210240"/>
    <x v="102"/>
  </r>
  <r>
    <x v="0"/>
    <s v="DGEA "/>
    <s v="Asistir los CAS en temas de interes para lograr su desarrollo dentro del encadenamiento productiva de los territorios"/>
    <s v="Apoyar en el area de desarrollo agroempresarial a la cadena Acuicola"/>
    <s v="Jiquilisco"/>
    <n v="4"/>
    <m/>
    <s v="Dirección General de Economía Agropecuaria"/>
    <n v="11980"/>
    <x v="103"/>
  </r>
  <r>
    <x v="0"/>
    <s v="DGEA "/>
    <m/>
    <s v="Apoyar en el area de desarrollo agroempresarial a la cadena de Granos basicos y Hortalizas"/>
    <s v="Usulután"/>
    <n v="4"/>
    <m/>
    <m/>
    <n v="23960"/>
    <x v="104"/>
  </r>
  <r>
    <x v="0"/>
    <s v="DGSV/MAG"/>
    <s v="Realizar capacitacionessobre aspectos de inocuidad"/>
    <s v="Mediante charlas y amterial didactico, se enseña a la población meta, aspectos importantes relacionados con la inocuidad de los alimetos (Buenas Practicas Agricolas, Buenas Practicas de Manufactura, Almacenamiento Apropiado de Granos Basicos, etc.)"/>
    <s v="San Pedro Puxtla"/>
    <n v="1"/>
    <m/>
    <s v="Direccion General de Sanidad Vegetal"/>
    <s v="US$73,541 por año"/>
    <x v="105"/>
  </r>
  <r>
    <x v="0"/>
    <s v="DGSV/MAG"/>
    <m/>
    <m/>
    <s v="Caluco"/>
    <n v="1"/>
    <m/>
    <m/>
    <m/>
    <x v="1"/>
  </r>
  <r>
    <x v="0"/>
    <s v="DGSV/MAG"/>
    <m/>
    <m/>
    <s v="La Libertad"/>
    <n v="3"/>
    <m/>
    <m/>
    <m/>
    <x v="1"/>
  </r>
  <r>
    <x v="0"/>
    <s v="DGSV/MAG"/>
    <m/>
    <m/>
    <s v="Rosario de Mora"/>
    <n v="3"/>
    <m/>
    <m/>
    <m/>
    <x v="1"/>
  </r>
  <r>
    <x v="0"/>
    <s v="DGSV/MAG"/>
    <m/>
    <m/>
    <s v="San Luis La Herradura"/>
    <n v="3"/>
    <m/>
    <m/>
    <m/>
    <x v="1"/>
  </r>
  <r>
    <x v="0"/>
    <s v="DGSV/MAG"/>
    <m/>
    <m/>
    <s v="Tecoluca"/>
    <n v="4"/>
    <m/>
    <m/>
    <m/>
    <x v="1"/>
  </r>
  <r>
    <x v="0"/>
    <s v="DGSV/MAG"/>
    <m/>
    <m/>
    <s v="Puerto El Triunfo"/>
    <n v="4"/>
    <m/>
    <m/>
    <m/>
    <x v="1"/>
  </r>
  <r>
    <x v="0"/>
    <s v="DGSV/MAG"/>
    <m/>
    <m/>
    <s v="Chirilagua"/>
    <n v="4"/>
    <m/>
    <m/>
    <m/>
    <x v="1"/>
  </r>
  <r>
    <x v="0"/>
    <s v="DGSV/MAG"/>
    <m/>
    <m/>
    <s v="Pasaquina"/>
    <n v="5"/>
    <m/>
    <m/>
    <m/>
    <x v="1"/>
  </r>
  <r>
    <x v="1"/>
    <s v="MINED"/>
    <s v="Centro de investigacion para la ciencia e innovación tecnología y una acuicultura sostenible OPTIMIZACION DEL ESQUEMA PRODUCTIVO DE CAMARON A TRAVES DE UN MODELO FORMATIVO DE ICT (INNOVACION, CIENCIA Y TECNOLIGIA)"/>
    <s v="Experiencia piloto para la optimizacion del sistema tradicional de cultivo de camarón con un enfoque de fortalecimiento de la fuerza laboral y de asistencia tecnica en la Bahía de Jiquilisco"/>
    <s v="Jiquilisco"/>
    <n v="4"/>
    <m/>
    <s v="Viceministerio de CT/MINED"/>
    <n v="6900000"/>
    <x v="1"/>
  </r>
  <r>
    <x v="0"/>
    <s v="MINED"/>
    <s v="Programa de Desarrollo Turístico de La Franja Costeri Marina (ES-L1066)"/>
    <s v="Componente 2.  Fortalecimiento de empresndimientos locales en Usulután y La Libertad."/>
    <s v="Usulutan y La Libertad"/>
    <s v="2,3"/>
    <m/>
    <s v="MIITUR-CORSATUR"/>
    <n v="1900000"/>
    <x v="1"/>
  </r>
  <r>
    <x v="2"/>
    <s v="MITUR"/>
    <s v="Programa de Desarrollo Turístico de La Franja Costero Marina (ES-L1066)"/>
    <s v="Componente 3.  Gobernanza turística y gestion de entidades público-privada funcionando."/>
    <s v="Usulutan y La Libertad"/>
    <s v="2,3"/>
    <m/>
    <s v="MIITUR-CORSATUR"/>
    <n v="3180000"/>
    <x v="1"/>
  </r>
  <r>
    <x v="3"/>
    <s v="MARN"/>
    <s v="Plan de Gobernabiliad y Planificación de la Gestión del Recurso Hídrico-Gobierno de España/AECID2010-201"/>
    <s v="Objetivo: Contribuir a una gestión integral del recurso hidríco en el pais, priorizando el acceso sostenible al agua potable y saneamiento, a traves de la planificación y coordinacion de "/>
    <s v="A nivel nacional"/>
    <n v="0"/>
    <m/>
    <s v="Ministerio de Medio Ambiente y Recursos Naturales MARN"/>
    <m/>
    <x v="106"/>
  </r>
  <r>
    <x v="3"/>
    <s v="MARN"/>
    <s v="Formulacion de la propuesta de preparacion para REDDPLUSGEF/Banco Mundial28/07/2011-30/09/2012"/>
    <m/>
    <s v="A nivel nacional"/>
    <n v="0"/>
    <m/>
    <s v="Ministerio de Medio Ambiente y Recursos Naturales MARN"/>
    <m/>
    <x v="107"/>
  </r>
  <r>
    <x v="3"/>
    <s v="MARN"/>
    <s v="Incorporacion de la gestion de la Biodiversidad en Actividades de Pesca y Turismo en los Ecosistemas Costero/ Marino/ GEF/ PNUD.2011-2014 "/>
    <s v="Este proyecto busca promover enfoques intrasectoriales para la conservacion de la BD a traves de los sectores de turismo y pesca, abordadndo una diversidad de riezgos que actualmente y potencialmente pueden afectar la biodiversidad"/>
    <s v="Franja Costero Marina de El Salvador, con 18 municipios priorizados, (San Luis, L aHerradura, Conchagua, San Alejo, Pasaquina, Meanguera del Golfo, Intipucá, Tecoluca,  Zacatecoluca,  Puerto El Triunfo, San Dionisio, Jiquilisco, Usulután, Chirilagua, La Libertad, Jujutla, Acajutla, Tamanique, San Francisco Manéndez)"/>
    <s v="1,2,3,4,5"/>
    <m/>
    <s v="Ministerio de Medio Ambiente y Recursos Naturales MARN"/>
    <m/>
    <x v="108"/>
  </r>
  <r>
    <x v="3"/>
    <s v="MARN"/>
    <s v="Contribucion al uso seguro de la biotecnologia en El Salvador GEF/PNUMA Agosto10-Agosto14"/>
    <s v="Consolidar e implementar un sistema operativo para el uso seguro de la"/>
    <m/>
    <n v="0"/>
    <m/>
    <s v="Ministerio de Medio Ambiente y Recursos Naturales MARN"/>
    <m/>
    <x v="109"/>
  </r>
  <r>
    <x v="3"/>
    <s v="MARN"/>
    <s v="Mejoramiento de Fuentes y Conservación de Suelos en Microcuencas Priortarias-Programa de Agua y Saneamiento Rural. BID-2358/OC-ES.2011-2015 préstamo/ Donación AECID "/>
    <s v="Planificación y coordinacion de esfuerzos que conlleven tanto la inversión y el fortalecimiento de las capacidads"/>
    <m/>
    <n v="0"/>
    <m/>
    <s v="Ministerio de Medio Ambiente y Recursos Naturales MARN"/>
    <m/>
    <x v="110"/>
  </r>
  <r>
    <x v="3"/>
    <s v="MARN"/>
    <s v="Programa de Restauración de Ecosistemas y Paisajes PREP"/>
    <s v="Promover y facilitar la restauracion de ecosistemas, cuencas y paisajes rurales como mecanismo para asegurar los servicios ecosistémicos y la conservación de la biodiversidad como forma de adaptarse a los impactos de cambio climático, sobre todo la variabilidad en el clima Metas:             a)Rehabilitar los procesos ecologicos y ecosistematicos para recuperar la resiliencia y desarrollar los sevicios eco-sistémicos claves (regulación hidríca, fertilidad de suelos) wue pueden reducir los riezgos socio-ambientales, estimular actividades productivas y asegurar los medios de"/>
    <s v="Territorio del Bajo Lempa incluyendo los municipios de Zacatecoluca, Tecoluca y Jiquilisco. Son los municipios que bordean ambos lados de Río Lempa en su delta, municipios de Cinquera, Suchitoto y Jutiapa Chalatenango, Las Vueltas, San José Ojos de Agua, El Carrizal, La Laguna, Comalapa y concepción Quezaltepeque"/>
    <s v="3,4"/>
    <m/>
    <s v="Ministerio de Medio Ambiente y Recursos Naturales MARN"/>
    <m/>
    <x v="1"/>
  </r>
  <r>
    <x v="3"/>
    <s v="MARN"/>
    <s v="Biodiversidad y sustentabilidad en el Áea de Conservación de Los Cobanos y Costa de Ahuachapán"/>
    <s v="Este Proyecto consiste en la adopción de actividades agroforestales ecoeficientes, promover las practicas sostenibles de uso de la tierra y buenas practicas en el cultivo de caña de azucar , promover la gestión inclusiva del área de conservación, y restaurar los ecosistemas costeros"/>
    <s v="Área de conservación de Cóbanos, Departamento de Sonsonate, y Área de conservación El Imposible-Barra de Santiago, Barra de Santiago Santa Rita Ahuachapan"/>
    <n v="0"/>
    <m/>
    <s v="Ministerio de Medio Ambiente y Recursos Naturales MARN"/>
    <m/>
    <x v="111"/>
  </r>
  <r>
    <x v="3"/>
    <s v="MITUR"/>
    <s v="Programa de Desarrollo Turístico de La Franja Costeri Marina (ES-L1066)"/>
    <s v="Componente 4.  Gestión Ambiental de los destinos turísticos. Sistema de Monitoreo de calidad ambiental y aguas residuales. Planes de ordenamiento terriotorial en La Libertad y Usulutan. Uso de zonas de alta diversidad en Asocio Público, Proyectos de saneamiento de aguas residuales y fortalecimiento de oficinas ambientales del MARN en La Libertad y Usulután."/>
    <s v="Usulutan y La Libertad"/>
    <s v="2,4"/>
    <m/>
    <s v="MIITUR-CORSATUR"/>
    <m/>
    <x v="1"/>
  </r>
  <r>
    <x v="4"/>
    <s v="MOP"/>
    <s v="CONSTRUCCION DE BORDAS EN EL RÍO HUIZA CANTÓN MELARA, MUNICIPIO Y DEPARTAMENTO DE LA LIBERTAD"/>
    <s v="Obra de Mitigación"/>
    <s v="La Libertad"/>
    <n v="2"/>
    <m/>
    <s v="MOP"/>
    <n v="5777457.5199999996"/>
    <x v="1"/>
  </r>
  <r>
    <x v="4"/>
    <s v="MOP"/>
    <s v="OBRAS DE PROTECCIÓN EN BASES DE FUENTE SOBRE RÍO JUANA, MUNICIPIO DE USULUTÁN, USULUTÁN"/>
    <s v="Obra de Mitigación"/>
    <s v="Usulután"/>
    <n v="4"/>
    <m/>
    <s v="MOP"/>
    <n v="999795"/>
    <x v="1"/>
  </r>
  <r>
    <x v="4"/>
    <s v="MOP"/>
    <s v="MEJORAMIENTO DE CAMINO TERCIARIO LIB22S:Et. LIB05W (DV. COMASAGUA) - Dv. LIB18S (CHILTIUPAN) LA LIBERTAD"/>
    <s v="Mejoramiento de las condiciones de transitabilidad"/>
    <s v="Chiltiupan"/>
    <n v="2"/>
    <m/>
    <s v="MOP"/>
    <n v="5290957"/>
    <x v="112"/>
  </r>
  <r>
    <x v="4"/>
    <s v="MOP"/>
    <s v="MEJORAMIENTO DE CAMINO RURAL LIB16S TRAMO LIB22S - TAMANIQUE. LA LIBERTAD"/>
    <s v="Mejoramiento de las condiciones de transitabilidad"/>
    <s v="Tamanique"/>
    <n v="2"/>
    <m/>
    <s v="MOP"/>
    <n v="8063651.9199999999"/>
    <x v="113"/>
  </r>
  <r>
    <x v="4"/>
    <s v="MOP"/>
    <s v="AMPLIACIÓN DE UN TRAMO DEL CAMINO TERCIARIO LIB05W: TRAMO CA04S-LIB15S (DESVIO A COMASAGUA) LA LIBERTAD"/>
    <s v="Mejoramiento de las condiciones de transitabilidad"/>
    <s v="Comasagua"/>
    <n v="2"/>
    <m/>
    <s v="MOP"/>
    <n v="2403282.5499999998"/>
    <x v="114"/>
  </r>
  <r>
    <x v="4"/>
    <s v="MOP"/>
    <s v="MEJORAMIENTO CAMINO RURAL AHU16S TRAMO: APANECA - QUEZALAPA - HACIA SAN PEDRO PUXTLA, APANECA, AHUACHAPAN D.D. VUS$100,000"/>
    <s v="Mejoramiento de las condiciones de transitabilidad"/>
    <s v="Apaneca"/>
    <n v="1"/>
    <m/>
    <s v="MOP"/>
    <n v="5195960.07"/>
    <x v="115"/>
  </r>
  <r>
    <x v="4"/>
    <s v="MOP"/>
    <s v="MEJORAMIENTO DE CAMINO RURAL LIB18N: TRAMO LIB22S - CHILTIUPAN, LA LIBERTAD"/>
    <s v="Mejoramiento de las condiciones de transitabilidad"/>
    <s v="Chiltiupan"/>
    <n v="2"/>
    <m/>
    <s v="MOP"/>
    <n v="6148790.9400000004"/>
    <x v="116"/>
  </r>
  <r>
    <x v="4"/>
    <s v="MOP"/>
    <s v="MEJORAMIENTO CAMINO TERCIARIO SAV29S, TRAMO SAN CARLOS LEMPA (SAV 09S) HACIA LA PITA, TECOLUCA, SAN VICENTE)"/>
    <s v="Mejoramiento de las condiciones de transitabilidad"/>
    <s v="Tecoluca"/>
    <n v="2"/>
    <m/>
    <s v="MOP"/>
    <n v="6844060.5899999999"/>
    <x v="117"/>
  </r>
  <r>
    <x v="4"/>
    <s v="MOP"/>
    <s v="OBRAS CIVILES PUENTE SOBRE RIÓ TIHUAPA, CANTON CANGREJERA, CASERIO VICTORIA, 500 METRO AGUAS ARRIBA DE PUENTE CANGREJERA CA02."/>
    <s v="Mejoramiento de las condiciones de transitabilidad"/>
    <s v="La Libertad"/>
    <n v="2"/>
    <m/>
    <s v="MOP"/>
    <n v="608796.63"/>
    <x v="118"/>
  </r>
  <r>
    <x v="4"/>
    <s v="MOP"/>
    <s v="CONSTRUCCIÓN DE EMPEDRADO Y FRAGUADO DE CALLE SAN MARTIN, MUNICIPIO GUAYMANGO, AUHACHAPAN"/>
    <s v="Mejoramiento de las condiciones de transitabilidad"/>
    <s v="Guaymango"/>
    <n v="2"/>
    <m/>
    <s v="MOP"/>
    <n v="80000"/>
    <x v="119"/>
  </r>
  <r>
    <x v="4"/>
    <s v="MOP"/>
    <s v="OBRAS CIVILES PUENTE SAN ANTONIO SOBRE RIO SAN ANTONIO - LA LIBERTAD EN CARRETERA CA02 LITORAL"/>
    <s v="Obra de Miitigacion"/>
    <s v="La Libertad"/>
    <n v="2"/>
    <m/>
    <s v="MOP"/>
    <n v="2497017.44"/>
    <x v="120"/>
  </r>
  <r>
    <x v="4"/>
    <s v="MOP"/>
    <s v="CAMINO RURAL TAPALHUACA - SAN FRANCISCO CHINAMECA, DEPARTAMENTO DE LA PAZ"/>
    <s v="Mejoramiento de las condiciones de transitabilidad"/>
    <s v="San Francisco Chinameca"/>
    <n v="3"/>
    <m/>
    <s v="MOP"/>
    <n v="2222500"/>
    <x v="1"/>
  </r>
  <r>
    <x v="4"/>
    <s v="MOP"/>
    <s v="PUENTE BINACIONAL (FRONTERA EL SALVADOR - GUATEMALA), GENERAL MANUEL JOSE ARCE"/>
    <s v="Construccion de nuevo puente"/>
    <s v="San Francisco Menendez"/>
    <n v="1"/>
    <m/>
    <s v="MOP"/>
    <n v="13000000"/>
    <x v="1"/>
  </r>
  <r>
    <x v="4"/>
    <s v="MOP"/>
    <s v="ADECUACIÓN Y AMPLIACIÓN DE CARRETERA CA02E, TRAMO: DESVÍO COMALAPA (PAZ31N) - DESVÍO AEROPUERTO EL SALVADOR (RN055) - ZACAECOLUCA (ROTONDA) LONGITUD 27.17 KM. DEPARTAMENTO DE LA PAZ."/>
    <s v="Construccion de dos carriles adicionales"/>
    <s v="San Luis Talpa - Zacatecoluca"/>
    <n v="3"/>
    <m/>
    <s v="MOP"/>
    <n v="102710000"/>
    <x v="1"/>
  </r>
  <r>
    <x v="4"/>
    <s v="MOP"/>
    <s v="Rehabilitacion de la Carretera CA01E, Tramo: Sirama - Puente de la Amistad (El Amatillo). Longitud 32.84 km. Departamento de La Union."/>
    <s v="Mejoramiento de las condiciones de la via existente"/>
    <s v="La Unión - Pasaquina"/>
    <n v="5"/>
    <m/>
    <s v="MOP"/>
    <n v="45730000"/>
    <x v="1"/>
  </r>
  <r>
    <x v="4"/>
    <s v="MOP"/>
    <s v="Reconstruccion del Camino Rural USU08S (Transversal a la Litoral), Tramo CA02E (Desvio Sa Marcos Lempa) - La Canoa. Longitud 17.62 km. Departamento de Usultan."/>
    <s v="Rehabilitación de vía existente"/>
    <s v="Jiquilisco"/>
    <n v="4"/>
    <m/>
    <s v="MOP"/>
    <n v="16130000"/>
    <x v="1"/>
  </r>
  <r>
    <x v="4"/>
    <s v="MOP"/>
    <s v="Mejoramiento Camino Vecinal Tramo CA02E (Tierra Blanca) -  Canton California - Salinas El Zompopero, Municipio de Jiquilisco; Departamento de Usulutan, Longitud 6.28 km."/>
    <s v="Mejoramiento de las condiciones de transitabilidad"/>
    <s v="Tierra Blanca - Jiquilisco"/>
    <n v="4"/>
    <m/>
    <s v="MOP"/>
    <n v="8760000"/>
    <x v="1"/>
  </r>
  <r>
    <x v="4"/>
    <s v="MOP"/>
    <s v="MEJORAMIENTO CAMINO TERCIARIO RUTA USU25N TRAMO; CA02E SAN AGUSTIN - SAN FRANCISCO JAVIER, DEPTO. USULUTAN."/>
    <s v="Mejoramiento de las condicines de transitabilidad"/>
    <s v="San Francisco Javier"/>
    <n v="4"/>
    <m/>
    <s v="MOP"/>
    <n v="4221436.83"/>
    <x v="1"/>
  </r>
  <r>
    <x v="4"/>
    <s v="MOP"/>
    <s v="MEJORAMIENTO CAMINO RURAL LIB21E ACCSO A TEOTEPEQUE A JICALAPA, DEPTO. LA LIBERTAD."/>
    <s v="Mejoramiento de las condicines de transitabilidad"/>
    <s v="Teotepeque - Jicalapa"/>
    <n v="4"/>
    <m/>
    <s v="MOP"/>
    <n v="1679759.67"/>
    <x v="1"/>
  </r>
  <r>
    <x v="4"/>
    <s v="MOP"/>
    <s v="3 Accesos a la costa en Bahia de Jiquilisco."/>
    <s v="Mejoramiento de las condicines de transitabilidad"/>
    <s v="Jiquilisco"/>
    <n v="4"/>
    <m/>
    <s v="MOP"/>
    <n v="4500000"/>
    <x v="1"/>
  </r>
  <r>
    <x v="4"/>
    <s v="MOP"/>
    <s v="Ampliacion de la Carretera RN19E . La Union, Municipios de Conchagua y La Union, Departamento de La Union."/>
    <s v="Mejoramiento de las condicines de transitabilidad"/>
    <s v="Conchagua - La Unión"/>
    <n v="5"/>
    <m/>
    <s v="MOP"/>
    <n v="12002470"/>
    <x v="1"/>
  </r>
  <r>
    <x v="4"/>
    <s v="MOP"/>
    <s v="MEJORAMIENTO CAMINO RURAL USU20S, JUQUILISCO - PUERTO AVALOS."/>
    <s v="Mejoramiento de las condicines de transitabilidad"/>
    <s v="Jiquilisco"/>
    <n v="4"/>
    <m/>
    <s v="MOP"/>
    <n v="2130352.36"/>
    <x v="1"/>
  </r>
  <r>
    <x v="4"/>
    <s v="MOP"/>
    <s v="MEJRAMIENTO APERTURA DE CAMINO VECINAL TRAMO: CANTON AMAPALITA - CANTON LAS PLAYITAS, MUNICIPIO DE LA UNION, DEPARTAMENTO DE LA UNION."/>
    <s v="Mejoramiento de las condicines de transitabilidad"/>
    <s v="La Unión"/>
    <n v="5"/>
    <m/>
    <s v="MOP"/>
    <n v="3850000"/>
    <x v="1"/>
  </r>
  <r>
    <x v="4"/>
    <s v="MOP"/>
    <s v="MEJORAMIENTO DE CAMINO RURAL TRAMO: CA01 CANTON PIEDRAS BLANCAS."/>
    <s v="Mejoramiento de las condicines de transitabilidad"/>
    <s v="Pasaquina"/>
    <n v="5"/>
    <m/>
    <s v="MOP"/>
    <m/>
    <x v="1"/>
  </r>
  <r>
    <x v="4"/>
    <s v="MOP"/>
    <s v="RECONSTRUCCION DEL PUENTE SOBRE EL RIO HUIZA, KM 44.2 DE LA CARRETERA CA02E, CANTON MELARA, MUNICIPIO Y DEPARTAMENTO DE LA LIBERTAD."/>
    <s v="Construcción de puente"/>
    <s v="La Libertad"/>
    <n v="3"/>
    <m/>
    <s v="MOP"/>
    <m/>
    <x v="1"/>
  </r>
  <r>
    <x v="4"/>
    <s v="MITUR"/>
    <s v="Programa de Desarrollo Turístico de La Franja Costero Marina (ES-L1066)"/>
    <s v="Componente 1. Puesta en Valor de Atractivos Turísticos "/>
    <s v="Usulutan y La Libertad"/>
    <s v="2,4"/>
    <m/>
    <s v="MIITUR-CORSATUR"/>
    <n v="11620000"/>
    <x v="1"/>
  </r>
  <r>
    <x v="1"/>
    <s v="MINEC/ MINED"/>
    <s v="ES-L1058 : Programa de Innovación para la Competitividad"/>
    <s v="Componente 2.  Inversión en Innovación. Montos disponibles para la FCM $18MM de $30MM totales"/>
    <s v="Nacional. Con énfasis en la FCM"/>
    <n v="0"/>
    <m/>
    <s v="MINEC"/>
    <n v="30000000"/>
    <x v="1"/>
  </r>
  <r>
    <x v="5"/>
    <m/>
    <m/>
    <m/>
    <m/>
    <m/>
    <m/>
    <m/>
    <m/>
    <x v="1"/>
  </r>
  <r>
    <x v="6"/>
    <s v="MINED"/>
    <s v="Programa de Becas para el Modelo Educativo Gradual de Aprendizaje Tecnico y Tecnológico MEGATEC"/>
    <s v="El modelo Educativo Gradual de Aprendizaje Técnico  y Tecnológico MEGATEC, está concevido como un proceso de innovación educativa, adecuada para responder exigencias de desarrollo social, científico, tecnológico y del sector productivo del pais, respetandose y atendiendose los intereses vocacionales de las personas y las necesidades de sus comunidades MEGATEC busca potenciar y articularla Educación media Técnica con la Educación Tecnológica superior  como estrategia educativa que desarrolle la formacion de mas profesionales permitiendo a la poblacion mejorar su"/>
    <s v="Sonsonate, La Unión y Zacatecoluca"/>
    <s v="2,3,5"/>
    <m/>
    <s v="MINED"/>
    <n v="3000000"/>
    <x v="121"/>
  </r>
  <r>
    <x v="6"/>
    <s v="MINED"/>
    <s v="Programa de Fortalecimiento de la Cohesión Social en el Sector Educativo de El Salvador"/>
    <s v="El programa de Fortalecimiento de la Cohesión Social en el Sector Educativo de El Salvador, en su componente III: Fortalecimiento de la Educación Media Técnica, desarrolla una transformacion educativa integral de 10 Bachilleratos Técnicos vocacionale considerados como estrategicos para el desarrollo de la población, cuyas especialidades serán en las áreas de agroindustria, cultura, mecanica general, mecanica automotriz, comercio, turismo, salud, electrónica, desarrollo de software y tecnoligía de información y comunicación"/>
    <s v="Usulután, Jiquilisco, Pto. El Triunfo, Santa Rosa de Lima, La Unión, El Transito, Zacatecoluca, San Juan Tepezontes, Santiago Nonualco, San Luis Talpa, Sonsonate, Izalco, Acajutla, Juayua y Sonzacate"/>
    <s v="1,3,4,5,"/>
    <m/>
    <s v="MINED"/>
    <n v="1500000"/>
    <x v="122"/>
  </r>
  <r>
    <x v="6"/>
    <s v="MINED"/>
    <s v="Proyecto Italia"/>
    <s v="El proyecto Italia rsponde a la necesidad de ampliar la oferta educativa del nivel de Educación Media para mejorar la productividad en 12 departamentos de El Salvador, contibuyendo a la vez a la reconversión y moderniozacion del sector agropecuario e industrial en la zona de influencia. Este proyecto busca lograr una nueva generación de Bachilleres generales y técnicos que, desde la práctica, y el estudio, se enlacen al trabajo administrativo y otras prácticas empresariales que les darán mejores oportunidades para la consecución de empleo"/>
    <s v="San Alejo, Intipuca, Jiquilisco"/>
    <s v="4,5"/>
    <m/>
    <s v="MINED"/>
    <m/>
    <x v="1"/>
  </r>
  <r>
    <x v="6"/>
    <s v="MINED"/>
    <s v="CURSOS TECNICOS (DIPLOMADOS) EDUCACIÓN PARA JOVENES Y ADULTOS"/>
    <s v="Diplomado de Agricultura Sostenible"/>
    <s v="3 municipios: Concepción Batres, Ozatlán y Santa Elena"/>
    <n v="4"/>
    <m/>
    <s v="MINED"/>
    <n v="24000"/>
    <x v="123"/>
  </r>
  <r>
    <x v="6"/>
    <s v="MINED"/>
    <s v="CURSOS TECNICOS (DIPLOMADOS) EDUCACIÓN PARA JOVENES Y ADULTOS"/>
    <s v="Banquetes, Cuidado del Cabello"/>
    <s v="La Libertad"/>
    <n v="2"/>
    <m/>
    <s v="MINED"/>
    <n v="16000"/>
    <x v="124"/>
  </r>
  <r>
    <x v="6"/>
    <s v="MINED"/>
    <s v="CURSOS TECNICOS (DIPLOMADOS) EDUCACIÓN PARA JOVENES Y ADULTOS"/>
    <s v="Cocina, pastelería y Artesanías"/>
    <s v="16 municipios"/>
    <n v="0"/>
    <m/>
    <s v="MINED"/>
    <n v="47058.879999999997"/>
    <x v="125"/>
  </r>
  <r>
    <x v="6"/>
    <s v="MINED"/>
    <s v="CURSOS TECNICOS (DIPLOMADOS) EDUCACIÓN PARA JOVENES Y ADULTOS"/>
    <s v="Mecania Automotriz, Corte y Confección, Panadería, Estética  y belleza, Asistente Administrativo y Ventas"/>
    <s v="5 municipios"/>
    <n v="0"/>
    <m/>
    <s v="MINED"/>
    <n v="58720"/>
    <x v="126"/>
  </r>
  <r>
    <x v="6"/>
    <s v="MINED"/>
    <s v="CURSOS TECNICOS (DIPLOMADOS) EDUCACIÓN PARA JOVENES Y ADULTOS"/>
    <s v="Producción Agropecuaria"/>
    <s v="2 municipios"/>
    <n v="0"/>
    <m/>
    <s v="MINED"/>
    <n v="32000"/>
    <x v="127"/>
  </r>
  <r>
    <x v="6"/>
    <s v="CEPA"/>
    <s v="Estudio de Pre-factibilidad para el desarrollo de la Industria Aeronáutica en El Salvador"/>
    <s v="Determinar la Prefactibilidad Técnica Economica del Proyecto &quot;Desarrollo de la Industria Aeronáutica en El Salvador&quot; Incluye la parte de Fortalecimiento  de la formación técnica y/o profesional relacionada a aeronáutica"/>
    <s v="San Luis Talpa, Ilopango y Zaragoza"/>
    <s v="2,3"/>
    <m/>
    <s v="Ministerio de Economía PROESA y  CEPA"/>
    <m/>
    <x v="128"/>
  </r>
  <r>
    <x v="3"/>
    <s v="USAID "/>
    <s v="Programa Regional USAID para el Manejo de Recursos Acuaticos y Altenativas Economicas "/>
    <s v="Programa regional de gestion de recursos costero marinos que impulsa politicas y normas regionales armonizadas para el mejor manejo de los recursos costero marinos asi como la implementacion de mejores practicas en el uso de los recursos.  Su objectivo general es reducir las amenazas provocadas por prácticas insostenibles de pesca y el desarrollo costero, estableciendo las bases para los mecanismos de derechos de acceso, que fortalezcan la gestión de recursos y la biodiversidad marino-costera y conserven la biodiversidad marino-costera crítica en el Istmo Centroamericano. "/>
    <s v="Actividades de campo se desarrollan en Jiquilisco y La Union"/>
    <s v="4,5"/>
    <m/>
    <s v="Ministerio Medio Ambiente y Recursos Naturales"/>
    <n v="400000"/>
    <x v="129"/>
  </r>
  <r>
    <x v="0"/>
    <s v="USAID "/>
    <s v="Programa para Mejorar el Acceso al Empleo"/>
    <s v="Mejorar las condicione del empleo. Responder a la demada de la empresa privada con oferta estudiantil acorde a lals necesidades. Mejorar el acceso al primer empleo. "/>
    <s v="Nacional"/>
    <n v="0"/>
    <m/>
    <m/>
    <m/>
    <x v="130"/>
  </r>
  <r>
    <x v="0"/>
    <s v="USAID "/>
    <s v=" Programa para el Desarrollo de las PYME "/>
    <s v="Apoyo al PYMES  para obtener un mayor acceso a servicios de desarrollo empresarial de calidad, que les permita incrementar su productividad y competitividad, así como ampliar sus operaciones en mercados locales e internacionales."/>
    <s v="Naconal"/>
    <n v="0"/>
    <m/>
    <s v="Chemonics"/>
    <m/>
    <x v="121"/>
  </r>
  <r>
    <x v="0"/>
    <s v="USAID "/>
    <s v="Proyecto de Competitividad Municipal"/>
    <s v="Concurso de Ideas de Negocios. Cuarenta ideas de negocios de 42 municipios del país serán premiadas con asistencia técnica para formular su plan de negocios que les permita iniciar o expandir dichas ideas en el mercado."/>
    <s v="42 municipios"/>
    <n v="0"/>
    <m/>
    <s v="FUSAI"/>
    <m/>
    <x v="107"/>
  </r>
  <r>
    <x v="3"/>
    <s v="USAID "/>
    <s v="Programa de Conservacion de la Tortuga Marina y Mejoramiento de Comunidades"/>
    <s v="Programa bilateral de USAID para la conservacion de las tortugas marinas a traves del manejo de viveros en playas a lo largo de la costa salvadorena."/>
    <s v="Municipios costeros a lo largo del pais."/>
    <n v="0"/>
    <m/>
    <s v="Ministerio Medio Ambiente y Recursos Naturales / Ministerio de Turismo"/>
    <m/>
    <x v="122"/>
  </r>
  <r>
    <x v="0"/>
    <s v="KOICA"/>
    <s v="Desarrollo del Sistema de Riego para la Mejora de la Productividad del Arroz en El Salvador"/>
    <s v="Desarrollo del Sistema de Riego para la Mejora de la Productividad del Arroz en El Salvador"/>
    <s v="Nacional"/>
    <n v="0"/>
    <m/>
    <s v="Ministerio de Agricultura y Ganadería (MAG)"/>
    <m/>
    <x v="131"/>
  </r>
  <r>
    <x v="0"/>
    <s v="KOICA"/>
    <s v="Promocion y Desarrollo de Tecnología Agropecuaria"/>
    <s v="Desarrollo del Sistema de Riego para la Mejora de la Productividad del Arroz en El Salvador"/>
    <s v="Nacional"/>
    <n v="0"/>
    <m/>
    <s v="Universidad de El Salvador (UES)"/>
    <m/>
    <x v="132"/>
  </r>
  <r>
    <x v="0"/>
    <s v="JICA "/>
    <s v="Proyecto de Mejoramiento de la Producción y Extensión de la Tecnología de Acuicultura de Moluscos"/>
    <s v="El Proyecto tiene como objetivo consolidar acuicultura de moluscos para los pescadores artesanales en la zona oriente del país. El Proyecto consiste en dos líneas de acción; 1) la transferencia tecnológica a CENDEPESCA en Puerto el Triunfo para la producción masiva de semillas de curil, casco de burro y ostra japonesa con el fin de atender la demanda nacional de los productores, y 2) la difunción de la acuicultura a los pescadores artesanales en la Bahia de Jiquilisco y el Golfo de Fonseca. También el Proyecto brinda asistencia para la comercialización de moluscos a través de alianza estratégica con otros actores relevantes en el país. "/>
    <s v="Los municipios en la zona del Golfo de Fonseca y la Bahia de Jiquilisco."/>
    <s v="4,5"/>
    <m/>
    <s v="CENDEPESCA/ MAG"/>
    <s v="1,621,960 "/>
    <x v="133"/>
  </r>
  <r>
    <x v="2"/>
    <s v="JICA "/>
    <s v="Proyecto de Fortalecimiento de las Capacidades para Desarrollo de Tursimo Rural en la Región Oriental de El Salvador"/>
    <s v="En los 13 municipios de la Mancomunidad de la Bahia de Fonceca, el proyecto apoyó, através de CORSATUR, la creación y el fortalecimiento de CDTs municipales y regional y promovío el desarrollo turistico rural participativo.  Los CDTs realizaron cinco proyectos piloto en la zona, inclusive un tur de las islas del Golfo de Fonseca. El Proyecto consistió en cuatro componentes; 1) Desarrollo de estrategía para el desarrollo turistico de la Región Oriental, 2) Fortalecimiento de las capacidades organizacionales de los CDT y de las institucionales de CORSATUR a traves de capacitaciones e implementación de proyectos piloto, y 4) Difunsión del modelo del desarrollo turistico en dicha mancomunidad a otros departamentos de la Región."/>
    <s v="Santa Rosa de Lima, Pasaquina, Bolivar, San Jose de la Fuente, Yucuaiquin, Yayantique, San Alejo, La Unión Meanguera del Golfo, Conchagua, El Carmen, Chirilagua, Intipuca. "/>
    <s v="4,5"/>
    <m/>
    <s v="MITUR/CORSATUR"/>
    <n v="3800000"/>
    <x v="1"/>
  </r>
  <r>
    <x v="0"/>
    <s v="JICA "/>
    <s v="Proyecto de Un Pueblo Un Producto"/>
    <s v="A traves del envío de expertos japoneses, capacitaciones y seminarios, el Proyecto pretende asistir difunción y adaptación de la metodología de Un Pueblo Un Producto en El Savador, con la finalidad de contribuir a promoción de la economía local y creación de empleo."/>
    <s v="La Palma, Concepción Quezaltepeque, Dulce Nombre de Maria, Jayaque, Panchimalco, Tepecoyo, Illobasco, San Sebastian, Nahuizalco, Apaneca, Santo Domingo de Guzman, Chalchuapa, Metapan, El Congo, San Lorenzo, Santa Ana, Caluco, Izalco, Santa Maria Ostuma, Tecoluca, San Vicente, Olocuilta, Verapaz, Puerto El Triunfo Isla del Espiritu Santo, San Alejo, Guatajiagua, Jocoaitique, Chinameca, Santa Tecla, Cojutepeque, Suchitoto, Santa Clara"/>
    <n v="0"/>
    <m/>
    <s v="CONAMYPE"/>
    <n v="865140"/>
    <x v="134"/>
  </r>
  <r>
    <x v="0"/>
    <s v="JICA "/>
    <s v="Fortalecimiento de Cadenas Productivas Agricolas en la Región Oriental (Nombre provisional)"/>
    <m/>
    <s v="Los cuatro departamentos en la Zona Oriental "/>
    <s v="4,5"/>
    <m/>
    <s v="MAG"/>
    <s v="-"/>
    <x v="1"/>
  </r>
  <r>
    <x v="0"/>
    <s v="JICA "/>
    <s v="Desarrollo de Capacidades de Facilitadores para el Mejoramiento de la Productividad y Calidad para Pequeñas y Meridanas Empresas II (Proyecto Regional)"/>
    <m/>
    <s v="Por definir"/>
    <n v="0"/>
    <m/>
    <s v="MINEC"/>
    <s v="-"/>
    <x v="1"/>
  </r>
  <r>
    <x v="0"/>
    <s v="SWISS CONTACT"/>
    <s v="Proyecto de Fortalecimiento de las Capacidades de Producción de Artesanías."/>
    <m/>
    <s v="Nacional"/>
    <n v="0"/>
    <m/>
    <s v="Swiss Contact"/>
    <m/>
    <x v="122"/>
  </r>
  <r>
    <x v="0"/>
    <s v="SWISS CONTACT"/>
    <s v="Autoempleo y emprendedurismo "/>
    <m/>
    <s v="Nacional"/>
    <n v="0"/>
    <m/>
    <s v="Swiss Contact"/>
    <m/>
    <x v="135"/>
  </r>
  <r>
    <x v="4"/>
    <s v="AECID"/>
    <s v="Proyectos de accceso al agua, practica ambientales y pesca sostenible."/>
    <s v="Proyectos de accceso al agua, practica ambientales y pesca sostenible."/>
    <s v="Nacional"/>
    <n v="0"/>
    <m/>
    <s v="FISDL / ANDA / MARN"/>
    <s v="-"/>
    <x v="136"/>
  </r>
  <r>
    <x v="4"/>
    <s v="LUX-DEV"/>
    <s v="Proyectos de accceso al agua, prácticas ambientales y Apoyo a Red Solidaria"/>
    <s v="Fondos para comunidades solidarias, prevensión en cambio climático y políticas de reducción de pobreza."/>
    <s v="Nacional"/>
    <n v="0"/>
    <m/>
    <s v="FOCAP - PNUD"/>
    <s v="-"/>
    <x v="137"/>
  </r>
  <r>
    <x v="2"/>
    <s v="COOP. ALEMANA"/>
    <s v="Préstamo para el desarrollo comunal FISDL IV"/>
    <s v="Fomento del desarrollo de  comunidades y el mejoramiento al acceso a infraestructuras más económicas y más sociales así como su utilización sostenible"/>
    <s v="100 municipios más pobres"/>
    <n v="0"/>
    <m/>
    <s v="FISDL"/>
    <n v="18200000"/>
    <x v="138"/>
  </r>
  <r>
    <x v="3"/>
    <s v="COOP. ALEMANA"/>
    <s v="Programa de crédito para el medio ambiente y energías  renovables (Iniciativa de Clima y de Medio Ambiente)"/>
    <s v="Fomento del desarrollo de  comunidades y el mejoramiento al acceso a infraestructuras más económicas y más sociales así como su utilización sostenible"/>
    <s v="Nacional"/>
    <n v="0"/>
    <m/>
    <s v="BANDESAL -  GIZ GESTA"/>
    <n v="25350000"/>
    <x v="139"/>
  </r>
  <r>
    <x v="6"/>
    <s v="COOP. ALEMANA"/>
    <s v="Programa de formación profesional FONEDUCA"/>
    <s v="A través de los  fondos de garantía de préstamos se pretende asegurar una parte del riesgo de impago de los préstamos para formación por las entidades financieras a jóvenes que provienen de familias con bajos ingresos para el financiamiento de los costos del estudio"/>
    <s v="Nacional"/>
    <n v="0"/>
    <m/>
    <s v="BANDESAL - FORTALECE - PROMUDE"/>
    <n v="7150000"/>
    <x v="140"/>
  </r>
  <r>
    <x v="3"/>
    <s v="COOP. ALEMANA"/>
    <s v="Préstamo para el apoyo del Plan nacional integral para el manejo de desechos sólidos en El Salvador"/>
    <s v="Manejo de desechos sólidos, protección al medio ambiente y_x000a_recursos naturales"/>
    <s v="Nacional"/>
    <n v="0"/>
    <m/>
    <s v="MARN"/>
    <n v="19500000"/>
    <x v="141"/>
  </r>
  <r>
    <x v="3"/>
    <s v="COOP. ALEMANA"/>
    <s v="Apoyo en la construcción de una planta solar con la CEL (capacidad de 6 MW)"/>
    <s v="El proyecto prevé concederle al abastecedor estatal de energía eléctrica CEL, un préstamo de hasta 17 millones de euros para el financiamiento de una planta fotovoltáica de 6 MW"/>
    <s v="Usulutan"/>
    <n v="4"/>
    <m/>
    <s v="CEL"/>
    <n v="22100000"/>
    <x v="142"/>
  </r>
  <r>
    <x v="3"/>
    <s v="COOP. ALEMANA"/>
    <s v="Reducción de Emisiones, Deforestación y Degradación Forestal (REDD)"/>
    <s v="Programa Estratégico Regional Forestal“ coordinado por la Comisión Centroamericana de Ambiente y Desarrollo (CCAD)"/>
    <s v="Regional"/>
    <n v="0"/>
    <m/>
    <s v="SICA -CCAD"/>
    <n v="1560000"/>
    <x v="143"/>
  </r>
  <r>
    <x v="3"/>
    <s v="COOP. ALEMANA"/>
    <s v="Fomento de Eficiencia Energética y Energía Renovable en Centroamérica (4E)"/>
    <s v="Mejorar la realización de estrategias para la expansión de energías renovables y  medidas para la eficiencia energética."/>
    <s v="Regional"/>
    <n v="0"/>
    <m/>
    <s v="SG - SICA"/>
    <n v="2504666.6666666665"/>
    <x v="144"/>
  </r>
  <r>
    <x v="4"/>
    <s v="COOP. ALEMANA"/>
    <s v="Programa del Instituto Federal de Física y Metrología (PTB)"/>
    <s v="Construcción de infraestructura de calidad armonizada a la región."/>
    <s v="Regional"/>
    <n v="0"/>
    <m/>
    <s v="SICA"/>
    <n v="5850000"/>
    <x v="145"/>
  </r>
  <r>
    <x v="4"/>
    <s v="COOP. ALEMANA"/>
    <s v="Fomento del ordenamiento y desarrollo territorial en Centroamérica"/>
    <s v="Busca un marco conceptual acordado a nivel regional, apoyar la cooperación transfronteriza  de los entes nacionales responsables del ordenamiento de instituciones nacionales"/>
    <s v="Regional"/>
    <n v="0"/>
    <m/>
    <s v="SICA/SISCA"/>
    <n v="13000000"/>
    <x v="146"/>
  </r>
  <r>
    <x v="0"/>
    <s v="COOP. ALEMANA"/>
    <s v="Fondo regional abierto para el apoyo al empleo juvenil y económico en Centroamérica  (FACILIDAD)"/>
    <s v="El objetivo del programa es apoyar a los países del istmo en los procesos del cambio estructural y  mejorar la competitividad de las pymes y las posibilidades de ocupación en sectores seleccionados de Centroamérica."/>
    <s v="Nacional"/>
    <n v="0"/>
    <m/>
    <s v="GIZ - Varias instituciones"/>
    <n v="7150000"/>
    <x v="1"/>
  </r>
  <r>
    <x v="3"/>
    <s v="COOP. ALEMANA"/>
    <s v="Plataforma de cooperación Latinoamérica Norte (KOPLAN)"/>
    <s v="El objetivo del programa es apoyar la tecnología conveniente para el clima y el medio ambiente en México y Centroamérica. "/>
    <s v="Regional"/>
    <n v="0"/>
    <m/>
    <s v="SICA"/>
    <n v="5850000"/>
    <x v="1"/>
  </r>
  <r>
    <x v="3"/>
    <s v="COOP. ALEMANA"/>
    <s v="Protección del biocorredor mesoaméricano en Centroamérica"/>
    <s v="El objetivo del programa es apoyar la tecnología conveniente para el clima y el medio ambiente en México y Centroamérica. "/>
    <s v="Regional"/>
    <n v="0"/>
    <m/>
    <s v="SICA"/>
    <n v="5850000"/>
    <x v="1"/>
  </r>
  <r>
    <x v="0"/>
    <s v="COOP. ALEMANA"/>
    <s v="Desarrollo empresarial y apoyo a Pymes en Centroamérica"/>
    <s v="Préstamos para PYMES innovadoras y emprendedores"/>
    <s v="Regional"/>
    <n v="0"/>
    <m/>
    <s v="BCIE"/>
    <n v="13000000"/>
    <x v="1"/>
  </r>
  <r>
    <x v="3"/>
    <s v="BM"/>
    <s v="Consolidación y Administración de Áreas Protegidas  P092202"/>
    <s v="Mejorar la seguridad de la teneduria de tierra y las transacciones, a traves de proveer servicios seguros, y equitativos de la tierra, para facilitar las inversiones y el uso eficiente de la mism                              "/>
    <s v="Usulutan, Jucuaran, Jiquilisco, Puerto el Triunfo, Jiqulisco, Tecoluca, "/>
    <n v="4"/>
    <n v="13400000"/>
    <s v="MARN  - CNR"/>
    <n v="13400000"/>
    <x v="147"/>
  </r>
  <r>
    <x v="4"/>
    <s v="BM"/>
    <s v="Fortalecimiento de gobierno local   P118026"/>
    <s v="Mejorar los procesos administrativos, financieros y tecnicos,de los sistemas de gobiernos locales para proveer servicios basicos      "/>
    <s v="Nacional "/>
    <n v="0"/>
    <n v="85000000"/>
    <s v="Subsecretaria para desarrollo Local y territorial"/>
    <n v="85000000"/>
    <x v="148"/>
  </r>
  <r>
    <x v="0"/>
    <s v="BCIE"/>
    <s v="Plan de Agricultura Familiar y Emprendedurismo Rural para la Seguridad Alimentaria y Nutricional"/>
    <s v="financiar parcialmente el programa “Plan de Agricultura Familiar y Emprendedurismo Rural para la Seguridad Alimentaria y Nutricional (PAF)"/>
    <s v="Nacional"/>
    <n v="0"/>
    <m/>
    <s v="MAG"/>
    <n v="60000000"/>
    <x v="149"/>
  </r>
  <r>
    <x v="0"/>
    <s v="BCIE"/>
    <s v="Caja de Crédito de Zacatecoluca. IFNB"/>
    <s v="Financiar exclusivamente operaciones que se enmarquen dentro de cualquiera de los programas de crédito intermediado del BCIE,'"/>
    <s v="Zacatecoluca"/>
    <n v="3"/>
    <m/>
    <s v="PRIVADO"/>
    <n v="750000"/>
    <x v="150"/>
  </r>
  <r>
    <x v="0"/>
    <s v="BCIE"/>
    <s v="Caja de Crédito de Usulután. IFNB"/>
    <s v="enfocada a contribuir con el crecimiento de la colocación de recursos hacia el micro y pequeño empresario y las municipalidades, que de acuerdo con su orientación estratégica conforma su giro de negocio, así como apoyar con ello el desarrollo de este sector en el país."/>
    <s v="Usulután"/>
    <n v="4"/>
    <m/>
    <s v="PRIVADO"/>
    <n v="1500000"/>
    <x v="122"/>
  </r>
  <r>
    <x v="4"/>
    <s v="BCIE"/>
    <s v="Ampliación de la Carretera al Puerto La Libertad Tramos II y III y construcción de los puentes Arce y Anguiatú en las fronteras entre El Salvador y Guatemala de La Hachadura y Anguiatú"/>
    <s v="Proyectos de Ampliación de la Carretera al Puerto de La Libertad Tramos II y III y Construcción de los Puentes sobre los Ríos Anguiatú y Paz en las Fronteras de Anguiatú y La Hachadura entre El Salvador y Guatemala, que consiste en el diseño y construcción de 4 proyectos viales conformados por dos (2) puentes fronterizos y dos (2) tramos carreteros. Los puentes serán desarrollados en la zona occidental del país, en puntos fronterizos con Guatemala; y los tramos carreteros son parte de la ruta CA-4,carretera que conduce hacia el Puerto de La Libertad, desde la zona central del país"/>
    <s v="La Libertad y Frontera con Guatemala"/>
    <s v="1,2"/>
    <m/>
    <m/>
    <n v="144700000"/>
    <x v="1"/>
  </r>
  <r>
    <x v="4"/>
    <s v="BCIE"/>
    <s v="Programa de Desarrollo y Sostenimiento Aéreo y Marítimo Portuario"/>
    <s v="Ejecución del Programa de Desarrollo y Sostenimiento Aéreo y Marítimo Portuario en la República de El Salvador. El proyecto comprende proyectos de infraestructura y equipamiento"/>
    <s v="Comalapa"/>
    <n v="3"/>
    <m/>
    <s v="CEPA"/>
    <n v="92160000"/>
    <x v="151"/>
  </r>
  <r>
    <x v="4"/>
    <s v="BID"/>
    <s v="ES-L1085 : Mejoramiento Corredor Pacifico Mesoamerica"/>
    <s v="El Proyecto Financiará El Mejoramiento De Las Condiciones Físicas Del Corredor Pacifico Mesoamericano. "/>
    <s v="Litoral salvadoreño"/>
    <s v="1,2,3,4,5"/>
    <m/>
    <s v="MOPTVDU"/>
    <n v="155000000"/>
    <x v="1"/>
  </r>
  <r>
    <x v="0"/>
    <s v="BID"/>
    <s v="ES-L1075 : Programa de Corredores Productivos"/>
    <s v="Componente I: Desarrollo Productivo Para La Competitividad De Mipymes Componente Ii: Inversiones Productivas Y Logísticas Para La Competitividadcomponente Iii: Sostenibilidad Ambiental De La Franja Costero-marítima Componente Iv: Fortalecimiento Institucionalcomponente Iii: Sostenibilidad Ambiental De La Franja Costero-marítima"/>
    <s v="Franja costero Marina"/>
    <s v="1,2,3,4,5"/>
    <m/>
    <s v="MOPTVDU"/>
    <n v="30000000"/>
    <x v="1"/>
  </r>
  <r>
    <x v="0"/>
    <s v="BID"/>
    <s v="ES-T1179 : Modelo de Desarrollo Integral en el municipio de Concepción Batres"/>
    <s v="Componente I: Desarrollo Productivo Para La Competitividad De Mipymes Componente II: Inversiones Productivas Y Logísticas Para La Competitividadcomponente Iii: Sostenibilidad Ambiental De La Franja Costero-marítima Componente Iv: Fortalecimiento Institucionalcomponente Iii: Sostenibilidad Ambiental De La Franja Costero-marítima"/>
    <s v="Concepción Batres"/>
    <n v="4"/>
    <m/>
    <s v="FUSADES"/>
    <n v="320000"/>
    <x v="152"/>
  </r>
  <r>
    <x v="0"/>
    <s v="UNION EUROPEA"/>
    <s v="Sistema Nacional de Calidad "/>
    <s v="El programa de Fortalecimiento de la Cohesión Social en el Sector Educativo de El Salvador, en su componente III: Fortalecimiento de la Educación Media Técnica, desarrolla una transformacion educativa integral de 10 Bachilleratos Técnicos vocacionale considerados como estrategicos para el desarrollo de la población, cuyas especialidades serán en las áreas de agroindustria, cultura, mecanica general, mecanica automotriz, comercio, turismo, salud, electrónica, desarrollo de software y tecnoligía de información y comunicación"/>
    <s v="Usulután, Jiquilisco, Pto. El Triunfo, Santa Rosa de Lima, La Unión, El Transito, Zacatecoluca, San Juan Tepezontes, Santiago Nonualco, San Luis Talpa, Sonsonate, Izalco, Acajutla, Juayua y Sonzacate"/>
    <n v="0"/>
    <m/>
    <s v="MINEC"/>
    <n v="47190000"/>
    <x v="153"/>
  </r>
  <r>
    <x v="5"/>
    <m/>
    <m/>
    <m/>
    <m/>
    <m/>
    <m/>
    <m/>
    <m/>
    <x v="1"/>
  </r>
  <r>
    <x v="5"/>
    <m/>
    <m/>
    <m/>
    <m/>
    <m/>
    <m/>
    <m/>
    <m/>
    <x v="1"/>
  </r>
  <r>
    <x v="5"/>
    <m/>
    <m/>
    <m/>
    <m/>
    <m/>
    <m/>
    <m/>
    <m/>
    <x v="1"/>
  </r>
  <r>
    <x v="5"/>
    <m/>
    <m/>
    <m/>
    <m/>
    <m/>
    <m/>
    <m/>
    <m/>
    <x v="1"/>
  </r>
  <r>
    <x v="5"/>
    <m/>
    <m/>
    <m/>
    <m/>
    <m/>
    <m/>
    <m/>
    <m/>
    <x v="1"/>
  </r>
  <r>
    <x v="5"/>
    <m/>
    <m/>
    <m/>
    <m/>
    <m/>
    <m/>
    <m/>
    <m/>
    <x v="1"/>
  </r>
  <r>
    <x v="5"/>
    <m/>
    <m/>
    <m/>
    <m/>
    <m/>
    <m/>
    <m/>
    <m/>
    <x v="1"/>
  </r>
  <r>
    <x v="5"/>
    <m/>
    <m/>
    <m/>
    <m/>
    <m/>
    <m/>
    <m/>
    <m/>
    <x v="1"/>
  </r>
  <r>
    <x v="5"/>
    <m/>
    <m/>
    <m/>
    <m/>
    <m/>
    <m/>
    <m/>
    <m/>
    <x v="1"/>
  </r>
  <r>
    <x v="5"/>
    <m/>
    <m/>
    <m/>
    <m/>
    <m/>
    <m/>
    <m/>
    <m/>
    <x v="1"/>
  </r>
  <r>
    <x v="5"/>
    <m/>
    <m/>
    <m/>
    <m/>
    <m/>
    <m/>
    <m/>
    <m/>
    <x v="1"/>
  </r>
  <r>
    <x v="5"/>
    <m/>
    <m/>
    <m/>
    <m/>
    <m/>
    <m/>
    <m/>
    <m/>
    <x v="1"/>
  </r>
</pivotCacheRecords>
</file>

<file path=xl/pivotCache/pivotCacheRecords3.xml><?xml version="1.0" encoding="utf-8"?>
<pivotCacheRecords xmlns="http://schemas.openxmlformats.org/spreadsheetml/2006/main" xmlns:r="http://schemas.openxmlformats.org/officeDocument/2006/relationships" count="217">
  <r>
    <x v="0"/>
    <x v="0"/>
    <x v="0"/>
  </r>
  <r>
    <x v="1"/>
    <x v="1"/>
    <x v="0"/>
  </r>
  <r>
    <x v="1"/>
    <x v="1"/>
    <x v="0"/>
  </r>
  <r>
    <x v="1"/>
    <x v="1"/>
    <x v="0"/>
  </r>
  <r>
    <x v="2"/>
    <x v="2"/>
    <x v="0"/>
  </r>
  <r>
    <x v="3"/>
    <x v="3"/>
    <x v="0"/>
  </r>
  <r>
    <x v="4"/>
    <x v="4"/>
    <x v="0"/>
  </r>
  <r>
    <x v="5"/>
    <x v="0"/>
    <x v="0"/>
  </r>
  <r>
    <x v="1"/>
    <x v="0"/>
    <x v="0"/>
  </r>
  <r>
    <x v="1"/>
    <x v="0"/>
    <x v="0"/>
  </r>
  <r>
    <x v="6"/>
    <x v="0"/>
    <x v="0"/>
  </r>
  <r>
    <x v="7"/>
    <x v="5"/>
    <x v="0"/>
  </r>
  <r>
    <x v="8"/>
    <x v="5"/>
    <x v="0"/>
  </r>
  <r>
    <x v="9"/>
    <x v="5"/>
    <x v="0"/>
  </r>
  <r>
    <x v="10"/>
    <x v="6"/>
    <x v="0"/>
  </r>
  <r>
    <x v="11"/>
    <x v="7"/>
    <x v="0"/>
  </r>
  <r>
    <x v="12"/>
    <x v="7"/>
    <x v="0"/>
  </r>
  <r>
    <x v="13"/>
    <x v="7"/>
    <x v="0"/>
  </r>
  <r>
    <x v="12"/>
    <x v="7"/>
    <x v="0"/>
  </r>
  <r>
    <x v="14"/>
    <x v="7"/>
    <x v="0"/>
  </r>
  <r>
    <x v="15"/>
    <x v="7"/>
    <x v="0"/>
  </r>
  <r>
    <x v="16"/>
    <x v="7"/>
    <x v="0"/>
  </r>
  <r>
    <x v="17"/>
    <x v="7"/>
    <x v="0"/>
  </r>
  <r>
    <x v="12"/>
    <x v="7"/>
    <x v="0"/>
  </r>
  <r>
    <x v="18"/>
    <x v="7"/>
    <x v="0"/>
  </r>
  <r>
    <x v="18"/>
    <x v="7"/>
    <x v="0"/>
  </r>
  <r>
    <x v="19"/>
    <x v="7"/>
    <x v="0"/>
  </r>
  <r>
    <x v="20"/>
    <x v="7"/>
    <x v="0"/>
  </r>
  <r>
    <x v="21"/>
    <x v="7"/>
    <x v="0"/>
  </r>
  <r>
    <x v="22"/>
    <x v="7"/>
    <x v="0"/>
  </r>
  <r>
    <x v="23"/>
    <x v="8"/>
    <x v="0"/>
  </r>
  <r>
    <x v="24"/>
    <x v="8"/>
    <x v="0"/>
  </r>
  <r>
    <x v="25"/>
    <x v="8"/>
    <x v="0"/>
  </r>
  <r>
    <x v="26"/>
    <x v="8"/>
    <x v="0"/>
  </r>
  <r>
    <x v="27"/>
    <x v="8"/>
    <x v="0"/>
  </r>
  <r>
    <x v="28"/>
    <x v="8"/>
    <x v="0"/>
  </r>
  <r>
    <x v="27"/>
    <x v="8"/>
    <x v="0"/>
  </r>
  <r>
    <x v="29"/>
    <x v="8"/>
    <x v="0"/>
  </r>
  <r>
    <x v="30"/>
    <x v="8"/>
    <x v="0"/>
  </r>
  <r>
    <x v="31"/>
    <x v="8"/>
    <x v="0"/>
  </r>
  <r>
    <x v="32"/>
    <x v="8"/>
    <x v="0"/>
  </r>
  <r>
    <x v="33"/>
    <x v="8"/>
    <x v="0"/>
  </r>
  <r>
    <x v="34"/>
    <x v="8"/>
    <x v="0"/>
  </r>
  <r>
    <x v="35"/>
    <x v="8"/>
    <x v="0"/>
  </r>
  <r>
    <x v="36"/>
    <x v="8"/>
    <x v="0"/>
  </r>
  <r>
    <x v="37"/>
    <x v="8"/>
    <x v="0"/>
  </r>
  <r>
    <x v="38"/>
    <x v="8"/>
    <x v="0"/>
  </r>
  <r>
    <x v="39"/>
    <x v="8"/>
    <x v="0"/>
  </r>
  <r>
    <x v="40"/>
    <x v="8"/>
    <x v="0"/>
  </r>
  <r>
    <x v="41"/>
    <x v="8"/>
    <x v="0"/>
  </r>
  <r>
    <x v="42"/>
    <x v="8"/>
    <x v="0"/>
  </r>
  <r>
    <x v="43"/>
    <x v="8"/>
    <x v="0"/>
  </r>
  <r>
    <x v="44"/>
    <x v="8"/>
    <x v="0"/>
  </r>
  <r>
    <x v="45"/>
    <x v="8"/>
    <x v="0"/>
  </r>
  <r>
    <x v="46"/>
    <x v="8"/>
    <x v="0"/>
  </r>
  <r>
    <x v="47"/>
    <x v="8"/>
    <x v="0"/>
  </r>
  <r>
    <x v="48"/>
    <x v="8"/>
    <x v="0"/>
  </r>
  <r>
    <x v="49"/>
    <x v="8"/>
    <x v="0"/>
  </r>
  <r>
    <x v="50"/>
    <x v="8"/>
    <x v="0"/>
  </r>
  <r>
    <x v="51"/>
    <x v="8"/>
    <x v="0"/>
  </r>
  <r>
    <x v="52"/>
    <x v="8"/>
    <x v="0"/>
  </r>
  <r>
    <x v="53"/>
    <x v="8"/>
    <x v="0"/>
  </r>
  <r>
    <x v="54"/>
    <x v="8"/>
    <x v="0"/>
  </r>
  <r>
    <x v="55"/>
    <x v="8"/>
    <x v="0"/>
  </r>
  <r>
    <x v="56"/>
    <x v="8"/>
    <x v="0"/>
  </r>
  <r>
    <x v="57"/>
    <x v="8"/>
    <x v="0"/>
  </r>
  <r>
    <x v="58"/>
    <x v="8"/>
    <x v="0"/>
  </r>
  <r>
    <x v="59"/>
    <x v="8"/>
    <x v="0"/>
  </r>
  <r>
    <x v="60"/>
    <x v="8"/>
    <x v="0"/>
  </r>
  <r>
    <x v="61"/>
    <x v="8"/>
    <x v="0"/>
  </r>
  <r>
    <x v="62"/>
    <x v="8"/>
    <x v="0"/>
  </r>
  <r>
    <x v="63"/>
    <x v="8"/>
    <x v="0"/>
  </r>
  <r>
    <x v="64"/>
    <x v="8"/>
    <x v="0"/>
  </r>
  <r>
    <x v="65"/>
    <x v="8"/>
    <x v="0"/>
  </r>
  <r>
    <x v="66"/>
    <x v="8"/>
    <x v="0"/>
  </r>
  <r>
    <x v="67"/>
    <x v="8"/>
    <x v="0"/>
  </r>
  <r>
    <x v="68"/>
    <x v="8"/>
    <x v="0"/>
  </r>
  <r>
    <x v="69"/>
    <x v="8"/>
    <x v="0"/>
  </r>
  <r>
    <x v="70"/>
    <x v="8"/>
    <x v="0"/>
  </r>
  <r>
    <x v="71"/>
    <x v="8"/>
    <x v="0"/>
  </r>
  <r>
    <x v="72"/>
    <x v="8"/>
    <x v="0"/>
  </r>
  <r>
    <x v="73"/>
    <x v="8"/>
    <x v="0"/>
  </r>
  <r>
    <x v="74"/>
    <x v="8"/>
    <x v="0"/>
  </r>
  <r>
    <x v="75"/>
    <x v="8"/>
    <x v="0"/>
  </r>
  <r>
    <x v="76"/>
    <x v="8"/>
    <x v="0"/>
  </r>
  <r>
    <x v="77"/>
    <x v="8"/>
    <x v="0"/>
  </r>
  <r>
    <x v="78"/>
    <x v="8"/>
    <x v="0"/>
  </r>
  <r>
    <x v="79"/>
    <x v="8"/>
    <x v="0"/>
  </r>
  <r>
    <x v="80"/>
    <x v="8"/>
    <x v="0"/>
  </r>
  <r>
    <x v="81"/>
    <x v="8"/>
    <x v="0"/>
  </r>
  <r>
    <x v="82"/>
    <x v="8"/>
    <x v="0"/>
  </r>
  <r>
    <x v="83"/>
    <x v="8"/>
    <x v="0"/>
  </r>
  <r>
    <x v="84"/>
    <x v="8"/>
    <x v="0"/>
  </r>
  <r>
    <x v="85"/>
    <x v="8"/>
    <x v="0"/>
  </r>
  <r>
    <x v="86"/>
    <x v="8"/>
    <x v="0"/>
  </r>
  <r>
    <x v="87"/>
    <x v="8"/>
    <x v="0"/>
  </r>
  <r>
    <x v="88"/>
    <x v="8"/>
    <x v="0"/>
  </r>
  <r>
    <x v="89"/>
    <x v="8"/>
    <x v="0"/>
  </r>
  <r>
    <x v="90"/>
    <x v="8"/>
    <x v="0"/>
  </r>
  <r>
    <x v="91"/>
    <x v="8"/>
    <x v="0"/>
  </r>
  <r>
    <x v="92"/>
    <x v="8"/>
    <x v="0"/>
  </r>
  <r>
    <x v="93"/>
    <x v="8"/>
    <x v="0"/>
  </r>
  <r>
    <x v="94"/>
    <x v="8"/>
    <x v="0"/>
  </r>
  <r>
    <x v="95"/>
    <x v="8"/>
    <x v="0"/>
  </r>
  <r>
    <x v="96"/>
    <x v="8"/>
    <x v="0"/>
  </r>
  <r>
    <x v="97"/>
    <x v="8"/>
    <x v="0"/>
  </r>
  <r>
    <x v="98"/>
    <x v="8"/>
    <x v="0"/>
  </r>
  <r>
    <x v="99"/>
    <x v="8"/>
    <x v="0"/>
  </r>
  <r>
    <x v="100"/>
    <x v="8"/>
    <x v="0"/>
  </r>
  <r>
    <x v="101"/>
    <x v="8"/>
    <x v="0"/>
  </r>
  <r>
    <x v="102"/>
    <x v="8"/>
    <x v="0"/>
  </r>
  <r>
    <x v="103"/>
    <x v="0"/>
    <x v="0"/>
  </r>
  <r>
    <x v="104"/>
    <x v="0"/>
    <x v="0"/>
  </r>
  <r>
    <x v="105"/>
    <x v="9"/>
    <x v="0"/>
  </r>
  <r>
    <x v="1"/>
    <x v="1"/>
    <x v="0"/>
  </r>
  <r>
    <x v="1"/>
    <x v="1"/>
    <x v="0"/>
  </r>
  <r>
    <x v="1"/>
    <x v="1"/>
    <x v="0"/>
  </r>
  <r>
    <x v="1"/>
    <x v="1"/>
    <x v="0"/>
  </r>
  <r>
    <x v="1"/>
    <x v="1"/>
    <x v="0"/>
  </r>
  <r>
    <x v="1"/>
    <x v="1"/>
    <x v="0"/>
  </r>
  <r>
    <x v="1"/>
    <x v="1"/>
    <x v="0"/>
  </r>
  <r>
    <x v="1"/>
    <x v="1"/>
    <x v="0"/>
  </r>
  <r>
    <x v="1"/>
    <x v="1"/>
    <x v="0"/>
  </r>
  <r>
    <x v="1"/>
    <x v="1"/>
    <x v="1"/>
  </r>
  <r>
    <x v="1"/>
    <x v="1"/>
    <x v="2"/>
  </r>
  <r>
    <x v="106"/>
    <x v="10"/>
    <x v="0"/>
  </r>
  <r>
    <x v="107"/>
    <x v="11"/>
    <x v="0"/>
  </r>
  <r>
    <x v="108"/>
    <x v="12"/>
    <x v="0"/>
  </r>
  <r>
    <x v="109"/>
    <x v="13"/>
    <x v="0"/>
  </r>
  <r>
    <x v="110"/>
    <x v="14"/>
    <x v="0"/>
  </r>
  <r>
    <x v="1"/>
    <x v="1"/>
    <x v="3"/>
  </r>
  <r>
    <x v="111"/>
    <x v="15"/>
    <x v="0"/>
  </r>
  <r>
    <x v="1"/>
    <x v="1"/>
    <x v="4"/>
  </r>
  <r>
    <x v="1"/>
    <x v="1"/>
    <x v="0"/>
  </r>
  <r>
    <x v="1"/>
    <x v="1"/>
    <x v="0"/>
  </r>
  <r>
    <x v="112"/>
    <x v="16"/>
    <x v="0"/>
  </r>
  <r>
    <x v="113"/>
    <x v="16"/>
    <x v="0"/>
  </r>
  <r>
    <x v="114"/>
    <x v="16"/>
    <x v="0"/>
  </r>
  <r>
    <x v="115"/>
    <x v="16"/>
    <x v="0"/>
  </r>
  <r>
    <x v="116"/>
    <x v="16"/>
    <x v="0"/>
  </r>
  <r>
    <x v="117"/>
    <x v="17"/>
    <x v="0"/>
  </r>
  <r>
    <x v="118"/>
    <x v="17"/>
    <x v="0"/>
  </r>
  <r>
    <x v="119"/>
    <x v="8"/>
    <x v="0"/>
  </r>
  <r>
    <x v="120"/>
    <x v="18"/>
    <x v="0"/>
  </r>
  <r>
    <x v="1"/>
    <x v="1"/>
    <x v="5"/>
  </r>
  <r>
    <x v="1"/>
    <x v="1"/>
    <x v="6"/>
  </r>
  <r>
    <x v="1"/>
    <x v="1"/>
    <x v="7"/>
  </r>
  <r>
    <x v="1"/>
    <x v="1"/>
    <x v="8"/>
  </r>
  <r>
    <x v="1"/>
    <x v="1"/>
    <x v="9"/>
  </r>
  <r>
    <x v="1"/>
    <x v="1"/>
    <x v="10"/>
  </r>
  <r>
    <x v="1"/>
    <x v="1"/>
    <x v="11"/>
  </r>
  <r>
    <x v="1"/>
    <x v="1"/>
    <x v="12"/>
  </r>
  <r>
    <x v="1"/>
    <x v="1"/>
    <x v="13"/>
  </r>
  <r>
    <x v="1"/>
    <x v="1"/>
    <x v="14"/>
  </r>
  <r>
    <x v="1"/>
    <x v="1"/>
    <x v="15"/>
  </r>
  <r>
    <x v="1"/>
    <x v="1"/>
    <x v="16"/>
  </r>
  <r>
    <x v="1"/>
    <x v="1"/>
    <x v="0"/>
  </r>
  <r>
    <x v="1"/>
    <x v="1"/>
    <x v="0"/>
  </r>
  <r>
    <x v="1"/>
    <x v="1"/>
    <x v="17"/>
  </r>
  <r>
    <x v="1"/>
    <x v="1"/>
    <x v="18"/>
  </r>
  <r>
    <x v="1"/>
    <x v="1"/>
    <x v="0"/>
  </r>
  <r>
    <x v="121"/>
    <x v="8"/>
    <x v="0"/>
  </r>
  <r>
    <x v="122"/>
    <x v="19"/>
    <x v="0"/>
  </r>
  <r>
    <x v="1"/>
    <x v="1"/>
    <x v="19"/>
  </r>
  <r>
    <x v="123"/>
    <x v="8"/>
    <x v="0"/>
  </r>
  <r>
    <x v="124"/>
    <x v="8"/>
    <x v="0"/>
  </r>
  <r>
    <x v="125"/>
    <x v="8"/>
    <x v="0"/>
  </r>
  <r>
    <x v="126"/>
    <x v="8"/>
    <x v="0"/>
  </r>
  <r>
    <x v="127"/>
    <x v="8"/>
    <x v="0"/>
  </r>
  <r>
    <x v="128"/>
    <x v="20"/>
    <x v="0"/>
  </r>
  <r>
    <x v="129"/>
    <x v="18"/>
    <x v="0"/>
  </r>
  <r>
    <x v="130"/>
    <x v="18"/>
    <x v="20"/>
  </r>
  <r>
    <x v="121"/>
    <x v="18"/>
    <x v="0"/>
  </r>
  <r>
    <x v="107"/>
    <x v="18"/>
    <x v="0"/>
  </r>
  <r>
    <x v="122"/>
    <x v="18"/>
    <x v="0"/>
  </r>
  <r>
    <x v="131"/>
    <x v="21"/>
    <x v="0"/>
  </r>
  <r>
    <x v="132"/>
    <x v="21"/>
    <x v="0"/>
  </r>
  <r>
    <x v="133"/>
    <x v="2"/>
    <x v="21"/>
  </r>
  <r>
    <x v="1"/>
    <x v="2"/>
    <x v="0"/>
  </r>
  <r>
    <x v="134"/>
    <x v="2"/>
    <x v="22"/>
  </r>
  <r>
    <x v="1"/>
    <x v="2"/>
    <x v="0"/>
  </r>
  <r>
    <x v="1"/>
    <x v="2"/>
    <x v="0"/>
  </r>
  <r>
    <x v="122"/>
    <x v="22"/>
    <x v="0"/>
  </r>
  <r>
    <x v="135"/>
    <x v="22"/>
    <x v="0"/>
  </r>
  <r>
    <x v="136"/>
    <x v="10"/>
    <x v="23"/>
  </r>
  <r>
    <x v="137"/>
    <x v="3"/>
    <x v="0"/>
  </r>
  <r>
    <x v="138"/>
    <x v="23"/>
    <x v="0"/>
  </r>
  <r>
    <x v="139"/>
    <x v="23"/>
    <x v="0"/>
  </r>
  <r>
    <x v="140"/>
    <x v="23"/>
    <x v="0"/>
  </r>
  <r>
    <x v="141"/>
    <x v="23"/>
    <x v="0"/>
  </r>
  <r>
    <x v="142"/>
    <x v="24"/>
    <x v="0"/>
  </r>
  <r>
    <x v="143"/>
    <x v="25"/>
    <x v="0"/>
  </r>
  <r>
    <x v="144"/>
    <x v="26"/>
    <x v="0"/>
  </r>
  <r>
    <x v="145"/>
    <x v="27"/>
    <x v="0"/>
  </r>
  <r>
    <x v="146"/>
    <x v="27"/>
    <x v="0"/>
  </r>
  <r>
    <x v="1"/>
    <x v="1"/>
    <x v="24"/>
  </r>
  <r>
    <x v="1"/>
    <x v="1"/>
    <x v="25"/>
  </r>
  <r>
    <x v="1"/>
    <x v="1"/>
    <x v="25"/>
  </r>
  <r>
    <x v="1"/>
    <x v="1"/>
    <x v="6"/>
  </r>
  <r>
    <x v="147"/>
    <x v="11"/>
    <x v="0"/>
  </r>
  <r>
    <x v="148"/>
    <x v="11"/>
    <x v="0"/>
  </r>
  <r>
    <x v="149"/>
    <x v="0"/>
    <x v="0"/>
  </r>
  <r>
    <x v="150"/>
    <x v="0"/>
    <x v="26"/>
  </r>
  <r>
    <x v="122"/>
    <x v="0"/>
    <x v="0"/>
  </r>
  <r>
    <x v="1"/>
    <x v="1"/>
    <x v="27"/>
  </r>
  <r>
    <x v="151"/>
    <x v="0"/>
    <x v="0"/>
  </r>
  <r>
    <x v="1"/>
    <x v="1"/>
    <x v="28"/>
  </r>
  <r>
    <x v="1"/>
    <x v="1"/>
    <x v="29"/>
  </r>
  <r>
    <x v="152"/>
    <x v="28"/>
    <x v="0"/>
  </r>
  <r>
    <x v="153"/>
    <x v="19"/>
    <x v="0"/>
  </r>
  <r>
    <x v="1"/>
    <x v="1"/>
    <x v="0"/>
  </r>
  <r>
    <x v="1"/>
    <x v="1"/>
    <x v="0"/>
  </r>
  <r>
    <x v="1"/>
    <x v="1"/>
    <x v="0"/>
  </r>
  <r>
    <x v="1"/>
    <x v="1"/>
    <x v="0"/>
  </r>
  <r>
    <x v="1"/>
    <x v="1"/>
    <x v="0"/>
  </r>
  <r>
    <x v="1"/>
    <x v="1"/>
    <x v="0"/>
  </r>
  <r>
    <x v="1"/>
    <x v="1"/>
    <x v="0"/>
  </r>
</pivotCacheRecords>
</file>

<file path=xl/pivotCache/pivotCacheRecords4.xml><?xml version="1.0" encoding="utf-8"?>
<pivotCacheRecords xmlns="http://schemas.openxmlformats.org/spreadsheetml/2006/main" xmlns:r="http://schemas.openxmlformats.org/officeDocument/2006/relationships" count="210">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1"/>
    <x v="1"/>
  </r>
  <r>
    <x v="2"/>
    <x v="1"/>
  </r>
  <r>
    <x v="0"/>
    <x v="0"/>
  </r>
  <r>
    <x v="0"/>
    <x v="0"/>
  </r>
  <r>
    <x v="0"/>
    <x v="0"/>
  </r>
  <r>
    <x v="0"/>
    <x v="0"/>
  </r>
  <r>
    <x v="0"/>
    <x v="0"/>
  </r>
  <r>
    <x v="3"/>
    <x v="2"/>
  </r>
  <r>
    <x v="0"/>
    <x v="0"/>
  </r>
  <r>
    <x v="4"/>
    <x v="1"/>
  </r>
  <r>
    <x v="0"/>
    <x v="0"/>
  </r>
  <r>
    <x v="0"/>
    <x v="0"/>
  </r>
  <r>
    <x v="0"/>
    <x v="0"/>
  </r>
  <r>
    <x v="0"/>
    <x v="0"/>
  </r>
  <r>
    <x v="0"/>
    <x v="0"/>
  </r>
  <r>
    <x v="0"/>
    <x v="0"/>
  </r>
  <r>
    <x v="0"/>
    <x v="0"/>
  </r>
  <r>
    <x v="0"/>
    <x v="0"/>
  </r>
  <r>
    <x v="0"/>
    <x v="0"/>
  </r>
  <r>
    <x v="0"/>
    <x v="0"/>
  </r>
  <r>
    <x v="0"/>
    <x v="0"/>
  </r>
  <r>
    <x v="5"/>
    <x v="3"/>
  </r>
  <r>
    <x v="6"/>
    <x v="4"/>
  </r>
  <r>
    <x v="7"/>
    <x v="5"/>
  </r>
  <r>
    <x v="8"/>
    <x v="5"/>
  </r>
  <r>
    <x v="9"/>
    <x v="5"/>
  </r>
  <r>
    <x v="10"/>
    <x v="5"/>
  </r>
  <r>
    <x v="11"/>
    <x v="1"/>
  </r>
  <r>
    <x v="12"/>
    <x v="1"/>
  </r>
  <r>
    <x v="13"/>
    <x v="1"/>
  </r>
  <r>
    <x v="14"/>
    <x v="1"/>
  </r>
  <r>
    <x v="15"/>
    <x v="1"/>
  </r>
  <r>
    <x v="16"/>
    <x v="1"/>
  </r>
  <r>
    <x v="0"/>
    <x v="0"/>
  </r>
  <r>
    <x v="0"/>
    <x v="0"/>
  </r>
  <r>
    <x v="17"/>
    <x v="1"/>
  </r>
  <r>
    <x v="18"/>
    <x v="1"/>
  </r>
  <r>
    <x v="0"/>
    <x v="0"/>
  </r>
  <r>
    <x v="0"/>
    <x v="0"/>
  </r>
  <r>
    <x v="0"/>
    <x v="0"/>
  </r>
  <r>
    <x v="19"/>
    <x v="6"/>
  </r>
  <r>
    <x v="0"/>
    <x v="0"/>
  </r>
  <r>
    <x v="0"/>
    <x v="0"/>
  </r>
  <r>
    <x v="0"/>
    <x v="0"/>
  </r>
  <r>
    <x v="0"/>
    <x v="0"/>
  </r>
  <r>
    <x v="0"/>
    <x v="0"/>
  </r>
  <r>
    <x v="0"/>
    <x v="0"/>
  </r>
  <r>
    <x v="0"/>
    <x v="0"/>
  </r>
  <r>
    <x v="20"/>
    <x v="7"/>
  </r>
  <r>
    <x v="0"/>
    <x v="0"/>
  </r>
  <r>
    <x v="0"/>
    <x v="0"/>
  </r>
  <r>
    <x v="0"/>
    <x v="0"/>
  </r>
  <r>
    <x v="0"/>
    <x v="0"/>
  </r>
  <r>
    <x v="0"/>
    <x v="0"/>
  </r>
  <r>
    <x v="21"/>
    <x v="8"/>
  </r>
  <r>
    <x v="0"/>
    <x v="0"/>
  </r>
  <r>
    <x v="22"/>
    <x v="8"/>
  </r>
  <r>
    <x v="0"/>
    <x v="0"/>
  </r>
  <r>
    <x v="0"/>
    <x v="0"/>
  </r>
  <r>
    <x v="0"/>
    <x v="0"/>
  </r>
  <r>
    <x v="0"/>
    <x v="0"/>
  </r>
  <r>
    <x v="23"/>
    <x v="9"/>
  </r>
  <r>
    <x v="0"/>
    <x v="0"/>
  </r>
  <r>
    <x v="0"/>
    <x v="0"/>
  </r>
  <r>
    <x v="0"/>
    <x v="0"/>
  </r>
  <r>
    <x v="0"/>
    <x v="0"/>
  </r>
  <r>
    <x v="0"/>
    <x v="0"/>
  </r>
  <r>
    <x v="0"/>
    <x v="0"/>
  </r>
  <r>
    <x v="0"/>
    <x v="0"/>
  </r>
  <r>
    <x v="0"/>
    <x v="0"/>
  </r>
  <r>
    <x v="0"/>
    <x v="0"/>
  </r>
  <r>
    <x v="0"/>
    <x v="0"/>
  </r>
  <r>
    <x v="24"/>
    <x v="10"/>
  </r>
  <r>
    <x v="25"/>
    <x v="10"/>
  </r>
  <r>
    <x v="25"/>
    <x v="10"/>
  </r>
  <r>
    <x v="6"/>
    <x v="11"/>
  </r>
  <r>
    <x v="0"/>
    <x v="0"/>
  </r>
  <r>
    <x v="0"/>
    <x v="0"/>
  </r>
  <r>
    <x v="0"/>
    <x v="0"/>
  </r>
  <r>
    <x v="26"/>
    <x v="12"/>
  </r>
  <r>
    <x v="0"/>
    <x v="0"/>
  </r>
  <r>
    <x v="27"/>
    <x v="12"/>
  </r>
  <r>
    <x v="0"/>
    <x v="0"/>
  </r>
  <r>
    <x v="28"/>
    <x v="1"/>
  </r>
  <r>
    <x v="29"/>
    <x v="1"/>
  </r>
  <r>
    <x v="0"/>
    <x v="0"/>
  </r>
  <r>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4" minRefreshableVersion="3" showCalcMbrs="0" useAutoFormatting="1" itemPrintTitles="1" createdVersion="3" indent="0" outline="1" outlineData="1" multipleFieldFilters="0" rowHeaderCaption="Montos en Gestión">
  <location ref="E1:E77" firstHeaderRow="1" firstDataRow="1" firstDataCol="1"/>
  <pivotFields count="15">
    <pivotField axis="axisRow" showAll="0">
      <items count="8">
        <item n="1 Fomento Productivo" x="0"/>
        <item n="2 Institucionalidad" x="2"/>
        <item n="3 Medio Ambiente" x="3"/>
        <item n="4 Infraestructura" x="4"/>
        <item n="5 Innovación" x="1"/>
        <item n="6 Capacidades" x="6"/>
        <item x="5"/>
        <item t="default"/>
      </items>
    </pivotField>
    <pivotField showAll="0"/>
    <pivotField showAll="0"/>
    <pivotField showAll="0"/>
    <pivotField showAll="0"/>
    <pivotField showAll="0"/>
    <pivotField showAll="0"/>
    <pivotField showAll="0"/>
    <pivotField showAll="0"/>
    <pivotField showAll="0"/>
    <pivotField showAll="0"/>
    <pivotField axis="axisRow" showAll="0">
      <items count="31">
        <item x="22"/>
        <item x="21"/>
        <item x="12"/>
        <item x="1"/>
        <item x="15"/>
        <item x="5"/>
        <item x="26"/>
        <item x="2"/>
        <item x="16"/>
        <item x="11"/>
        <item x="13"/>
        <item x="25"/>
        <item x="4"/>
        <item x="24"/>
        <item x="10"/>
        <item x="20"/>
        <item x="17"/>
        <item x="14"/>
        <item x="23"/>
        <item x="6"/>
        <item x="19"/>
        <item x="9"/>
        <item x="18"/>
        <item x="29"/>
        <item x="8"/>
        <item x="7"/>
        <item x="27"/>
        <item x="28"/>
        <item x="3"/>
        <item x="0"/>
        <item t="default"/>
      </items>
    </pivotField>
    <pivotField axis="axisRow" showAll="0">
      <items count="14">
        <item x="9"/>
        <item x="12"/>
        <item x="1"/>
        <item x="3"/>
        <item x="10"/>
        <item x="11"/>
        <item x="6"/>
        <item x="8"/>
        <item x="5"/>
        <item x="4"/>
        <item x="7"/>
        <item x="2"/>
        <item x="0"/>
        <item t="default"/>
      </items>
    </pivotField>
    <pivotField showAll="0"/>
    <pivotField showAll="0"/>
  </pivotFields>
  <rowFields count="3">
    <field x="12"/>
    <field x="0"/>
    <field x="11"/>
  </rowFields>
  <rowItems count="76">
    <i>
      <x/>
    </i>
    <i r="1">
      <x v="3"/>
    </i>
    <i r="2">
      <x v="18"/>
    </i>
    <i>
      <x v="1"/>
    </i>
    <i r="1">
      <x/>
    </i>
    <i r="2">
      <x v="6"/>
    </i>
    <i r="1">
      <x v="3"/>
    </i>
    <i r="2">
      <x v="26"/>
    </i>
    <i>
      <x v="2"/>
    </i>
    <i r="1">
      <x/>
    </i>
    <i r="2">
      <x v="3"/>
    </i>
    <i r="2">
      <x v="23"/>
    </i>
    <i r="1">
      <x v="1"/>
    </i>
    <i r="2">
      <x v="7"/>
    </i>
    <i r="1">
      <x v="2"/>
    </i>
    <i r="2">
      <x v="12"/>
    </i>
    <i r="1">
      <x v="3"/>
    </i>
    <i r="2">
      <x v="2"/>
    </i>
    <i r="2">
      <x v="4"/>
    </i>
    <i r="2">
      <x v="8"/>
    </i>
    <i r="2">
      <x v="9"/>
    </i>
    <i r="2">
      <x v="10"/>
    </i>
    <i r="2">
      <x v="16"/>
    </i>
    <i r="2">
      <x v="17"/>
    </i>
    <i r="2">
      <x v="27"/>
    </i>
    <i r="1">
      <x v="4"/>
    </i>
    <i r="2">
      <x v="22"/>
    </i>
    <i>
      <x v="3"/>
    </i>
    <i r="1">
      <x v="3"/>
    </i>
    <i r="2">
      <x v="5"/>
    </i>
    <i>
      <x v="4"/>
    </i>
    <i r="1">
      <x/>
    </i>
    <i r="2">
      <x v="13"/>
    </i>
    <i r="1">
      <x v="2"/>
    </i>
    <i r="2">
      <x v="11"/>
    </i>
    <i>
      <x v="5"/>
    </i>
    <i r="1">
      <x/>
    </i>
    <i r="2">
      <x v="19"/>
    </i>
    <i>
      <x v="6"/>
    </i>
    <i r="1">
      <x v="5"/>
    </i>
    <i r="2">
      <x v="20"/>
    </i>
    <i>
      <x v="7"/>
    </i>
    <i r="1">
      <x/>
    </i>
    <i r="2">
      <x/>
    </i>
    <i r="2">
      <x v="1"/>
    </i>
    <i>
      <x v="8"/>
    </i>
    <i r="1">
      <x v="3"/>
    </i>
    <i r="2">
      <x v="14"/>
    </i>
    <i r="2">
      <x v="21"/>
    </i>
    <i r="2">
      <x v="24"/>
    </i>
    <i r="2">
      <x v="25"/>
    </i>
    <i>
      <x v="9"/>
    </i>
    <i r="1">
      <x v="3"/>
    </i>
    <i r="2">
      <x v="19"/>
    </i>
    <i>
      <x v="10"/>
    </i>
    <i r="1">
      <x/>
    </i>
    <i r="2">
      <x v="15"/>
    </i>
    <i>
      <x v="11"/>
    </i>
    <i r="1">
      <x v="2"/>
    </i>
    <i r="2">
      <x v="28"/>
    </i>
    <i>
      <x v="12"/>
    </i>
    <i r="1">
      <x/>
    </i>
    <i r="2">
      <x v="29"/>
    </i>
    <i r="1">
      <x v="1"/>
    </i>
    <i r="2">
      <x v="29"/>
    </i>
    <i r="1">
      <x v="2"/>
    </i>
    <i r="2">
      <x v="29"/>
    </i>
    <i r="1">
      <x v="3"/>
    </i>
    <i r="2">
      <x v="29"/>
    </i>
    <i r="1">
      <x v="4"/>
    </i>
    <i r="2">
      <x v="29"/>
    </i>
    <i r="1">
      <x v="5"/>
    </i>
    <i r="2">
      <x v="29"/>
    </i>
    <i r="1">
      <x v="6"/>
    </i>
    <i r="2">
      <x v="29"/>
    </i>
    <i t="grand">
      <x/>
    </i>
  </rowItems>
  <colItems count="1">
    <i/>
  </colItems>
  <formats count="17">
    <format dxfId="22">
      <pivotArea dataOnly="0" labelOnly="1" fieldPosition="0">
        <references count="2">
          <reference field="0" count="1" selected="0">
            <x v="0"/>
          </reference>
          <reference field="11" count="9">
            <x v="0"/>
            <x v="1"/>
            <x v="3"/>
            <x v="6"/>
            <x v="13"/>
            <x v="15"/>
            <x v="19"/>
            <x v="23"/>
            <x v="29"/>
          </reference>
        </references>
      </pivotArea>
    </format>
    <format dxfId="21">
      <pivotArea dataOnly="0" labelOnly="1" fieldPosition="0">
        <references count="2">
          <reference field="0" count="1" selected="0">
            <x v="1"/>
          </reference>
          <reference field="11" count="1">
            <x v="7"/>
          </reference>
        </references>
      </pivotArea>
    </format>
    <format dxfId="20">
      <pivotArea dataOnly="0" labelOnly="1" fieldPosition="0">
        <references count="2">
          <reference field="0" count="1" selected="0">
            <x v="2"/>
          </reference>
          <reference field="11" count="3">
            <x v="11"/>
            <x v="12"/>
            <x v="28"/>
          </reference>
        </references>
      </pivotArea>
    </format>
    <format dxfId="19">
      <pivotArea dataOnly="0" labelOnly="1" fieldPosition="0">
        <references count="2">
          <reference field="0" count="1" selected="0">
            <x v="3"/>
          </reference>
          <reference field="11" count="16">
            <x v="2"/>
            <x v="4"/>
            <x v="5"/>
            <x v="8"/>
            <x v="9"/>
            <x v="10"/>
            <x v="14"/>
            <x v="16"/>
            <x v="17"/>
            <x v="18"/>
            <x v="19"/>
            <x v="21"/>
            <x v="24"/>
            <x v="25"/>
            <x v="26"/>
            <x v="27"/>
          </reference>
        </references>
      </pivotArea>
    </format>
    <format dxfId="18">
      <pivotArea dataOnly="0" labelOnly="1" fieldPosition="0">
        <references count="2">
          <reference field="0" count="1" selected="0">
            <x v="4"/>
          </reference>
          <reference field="11" count="1">
            <x v="22"/>
          </reference>
        </references>
      </pivotArea>
    </format>
    <format dxfId="17">
      <pivotArea dataOnly="0" labelOnly="1" fieldPosition="0">
        <references count="2">
          <reference field="0" count="1" selected="0">
            <x v="5"/>
          </reference>
          <reference field="11" count="1">
            <x v="20"/>
          </reference>
        </references>
      </pivotArea>
    </format>
    <format dxfId="16">
      <pivotArea dataOnly="0" labelOnly="1" fieldPosition="0">
        <references count="1">
          <reference field="12" count="1">
            <x v="0"/>
          </reference>
        </references>
      </pivotArea>
    </format>
    <format dxfId="15">
      <pivotArea dataOnly="0" labelOnly="1" fieldPosition="0">
        <references count="1">
          <reference field="12" count="1">
            <x v="1"/>
          </reference>
        </references>
      </pivotArea>
    </format>
    <format dxfId="14">
      <pivotArea dataOnly="0" labelOnly="1" fieldPosition="0">
        <references count="1">
          <reference field="12" count="1">
            <x v="2"/>
          </reference>
        </references>
      </pivotArea>
    </format>
    <format dxfId="13">
      <pivotArea dataOnly="0" labelOnly="1" fieldPosition="0">
        <references count="1">
          <reference field="12" count="1">
            <x v="4"/>
          </reference>
        </references>
      </pivotArea>
    </format>
    <format dxfId="12">
      <pivotArea dataOnly="0" labelOnly="1" fieldPosition="0">
        <references count="1">
          <reference field="12" count="1">
            <x v="6"/>
          </reference>
        </references>
      </pivotArea>
    </format>
    <format dxfId="11">
      <pivotArea dataOnly="0" labelOnly="1" fieldPosition="0">
        <references count="1">
          <reference field="12" count="1">
            <x v="7"/>
          </reference>
        </references>
      </pivotArea>
    </format>
    <format dxfId="10">
      <pivotArea dataOnly="0" labelOnly="1" fieldPosition="0">
        <references count="1">
          <reference field="12" count="1">
            <x v="8"/>
          </reference>
        </references>
      </pivotArea>
    </format>
    <format dxfId="9">
      <pivotArea dataOnly="0" labelOnly="1" fieldPosition="0">
        <references count="1">
          <reference field="12" count="1">
            <x v="9"/>
          </reference>
        </references>
      </pivotArea>
    </format>
    <format dxfId="8">
      <pivotArea dataOnly="0" labelOnly="1" fieldPosition="0">
        <references count="1">
          <reference field="12" count="1">
            <x v="10"/>
          </reference>
        </references>
      </pivotArea>
    </format>
    <format dxfId="7">
      <pivotArea dataOnly="0" labelOnly="1" fieldPosition="0">
        <references count="1">
          <reference field="12" count="1">
            <x v="11"/>
          </reference>
        </references>
      </pivotArea>
    </format>
    <format dxfId="6">
      <pivotArea dataOnly="0" labelOnly="1" fieldPosition="0">
        <references count="1">
          <reference field="12" count="1">
            <x v="12"/>
          </reference>
        </references>
      </pivotArea>
    </format>
  </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rowHeaderCaption="Montos aprobados">
  <location ref="A1:A246" firstHeaderRow="1" firstDataRow="1" firstDataCol="1"/>
  <pivotFields count="15">
    <pivotField axis="axisRow" showAll="0">
      <items count="8">
        <item n="1 Fomento Productivo" x="0"/>
        <item n="2 Institucionalidad" x="2"/>
        <item n="3 Medio Ambiente" x="3"/>
        <item n="4 Infraestructura" x="4"/>
        <item n="5 Innovación" x="1"/>
        <item n="6 Capacidades" x="6"/>
        <item x="5"/>
        <item t="default"/>
      </items>
    </pivotField>
    <pivotField showAll="0"/>
    <pivotField showAll="0"/>
    <pivotField showAll="0"/>
    <pivotField showAll="0"/>
    <pivotField showAll="0"/>
    <pivotField showAll="0"/>
    <pivotField showAll="0"/>
    <pivotField showAll="0"/>
    <pivotField axis="axisRow" showAll="0">
      <items count="155">
        <item x="28"/>
        <item x="18"/>
        <item x="26"/>
        <item x="103"/>
        <item x="81"/>
        <item x="89"/>
        <item x="24"/>
        <item x="20"/>
        <item x="15"/>
        <item x="124"/>
        <item x="29"/>
        <item x="88"/>
        <item x="27"/>
        <item x="104"/>
        <item x="123"/>
        <item x="46"/>
        <item x="97"/>
        <item x="22"/>
        <item x="55"/>
        <item x="78"/>
        <item x="13"/>
        <item x="91"/>
        <item x="127"/>
        <item x="23"/>
        <item x="48"/>
        <item x="45"/>
        <item x="52"/>
        <item x="49"/>
        <item x="57"/>
        <item x="100"/>
        <item x="19"/>
        <item x="43"/>
        <item x="125"/>
        <item x="63"/>
        <item x="25"/>
        <item x="105"/>
        <item x="17"/>
        <item x="126"/>
        <item x="14"/>
        <item x="12"/>
        <item x="86"/>
        <item x="119"/>
        <item x="21"/>
        <item x="54"/>
        <item x="95"/>
        <item x="42"/>
        <item x="101"/>
        <item x="64"/>
        <item x="34"/>
        <item x="4"/>
        <item x="39"/>
        <item x="50"/>
        <item x="82"/>
        <item x="47"/>
        <item x="61"/>
        <item x="98"/>
        <item x="90"/>
        <item x="96"/>
        <item x="44"/>
        <item x="3"/>
        <item x="80"/>
        <item x="75"/>
        <item x="16"/>
        <item x="35"/>
        <item x="33"/>
        <item x="70"/>
        <item x="84"/>
        <item x="37"/>
        <item x="72"/>
        <item x="134"/>
        <item x="94"/>
        <item x="68"/>
        <item x="60"/>
        <item x="66"/>
        <item x="40"/>
        <item x="85"/>
        <item x="41"/>
        <item x="8"/>
        <item x="36"/>
        <item x="76"/>
        <item x="69"/>
        <item x="99"/>
        <item x="53"/>
        <item x="62"/>
        <item x="93"/>
        <item x="83"/>
        <item x="107"/>
        <item x="51"/>
        <item x="102"/>
        <item x="71"/>
        <item x="128"/>
        <item x="38"/>
        <item x="56"/>
        <item x="79"/>
        <item x="65"/>
        <item x="87"/>
        <item x="67"/>
        <item x="30"/>
        <item x="135"/>
        <item x="31"/>
        <item x="6"/>
        <item x="73"/>
        <item x="152"/>
        <item x="74"/>
        <item x="58"/>
        <item x="59"/>
        <item x="129"/>
        <item x="32"/>
        <item x="92"/>
        <item x="77"/>
        <item x="111"/>
        <item x="7"/>
        <item x="133"/>
        <item x="118"/>
        <item x="150"/>
        <item x="109"/>
        <item x="11"/>
        <item x="0"/>
        <item x="122"/>
        <item x="143"/>
        <item x="10"/>
        <item x="5"/>
        <item x="132"/>
        <item x="9"/>
        <item x="108"/>
        <item x="114"/>
        <item x="120"/>
        <item x="144"/>
        <item x="2"/>
        <item x="121"/>
        <item x="131"/>
        <item x="115"/>
        <item x="112"/>
        <item x="145"/>
        <item x="116"/>
        <item x="117"/>
        <item x="140"/>
        <item x="130"/>
        <item x="113"/>
        <item x="106"/>
        <item x="146"/>
        <item x="137"/>
        <item x="147"/>
        <item x="136"/>
        <item x="138"/>
        <item x="141"/>
        <item x="110"/>
        <item x="142"/>
        <item x="139"/>
        <item x="153"/>
        <item x="149"/>
        <item x="148"/>
        <item x="151"/>
        <item x="1"/>
        <item t="default"/>
      </items>
    </pivotField>
    <pivotField axis="axisRow" showAll="0">
      <items count="30">
        <item x="10"/>
        <item x="0"/>
        <item x="5"/>
        <item x="28"/>
        <item x="17"/>
        <item x="14"/>
        <item x="11"/>
        <item x="26"/>
        <item x="23"/>
        <item x="27"/>
        <item x="25"/>
        <item x="2"/>
        <item x="6"/>
        <item x="20"/>
        <item x="8"/>
        <item x="9"/>
        <item x="24"/>
        <item x="21"/>
        <item x="3"/>
        <item x="16"/>
        <item x="12"/>
        <item x="13"/>
        <item x="22"/>
        <item x="15"/>
        <item x="19"/>
        <item x="4"/>
        <item x="18"/>
        <item x="7"/>
        <item x="1"/>
        <item t="default"/>
      </items>
    </pivotField>
    <pivotField showAll="0">
      <items count="31">
        <item x="22"/>
        <item x="21"/>
        <item x="12"/>
        <item x="1"/>
        <item x="15"/>
        <item x="5"/>
        <item x="26"/>
        <item x="2"/>
        <item x="16"/>
        <item x="11"/>
        <item x="13"/>
        <item x="25"/>
        <item x="4"/>
        <item x="24"/>
        <item x="10"/>
        <item x="20"/>
        <item x="17"/>
        <item x="14"/>
        <item x="23"/>
        <item x="6"/>
        <item x="19"/>
        <item x="9"/>
        <item x="18"/>
        <item x="29"/>
        <item x="8"/>
        <item x="7"/>
        <item x="27"/>
        <item x="28"/>
        <item x="3"/>
        <item x="0"/>
        <item t="default"/>
      </items>
    </pivotField>
    <pivotField showAll="0">
      <items count="14">
        <item x="9"/>
        <item x="12"/>
        <item x="1"/>
        <item x="3"/>
        <item x="10"/>
        <item x="11"/>
        <item x="6"/>
        <item x="8"/>
        <item x="5"/>
        <item x="4"/>
        <item x="7"/>
        <item x="2"/>
        <item x="0"/>
        <item t="default"/>
      </items>
    </pivotField>
    <pivotField showAll="0"/>
    <pivotField showAll="0"/>
  </pivotFields>
  <rowFields count="3">
    <field x="10"/>
    <field x="0"/>
    <field x="9"/>
  </rowFields>
  <rowItems count="245">
    <i>
      <x/>
    </i>
    <i r="1">
      <x v="2"/>
    </i>
    <i r="2">
      <x v="139"/>
    </i>
    <i r="1">
      <x v="3"/>
    </i>
    <i r="2">
      <x v="143"/>
    </i>
    <i>
      <x v="1"/>
    </i>
    <i r="1">
      <x/>
    </i>
    <i r="2">
      <x v="3"/>
    </i>
    <i r="2">
      <x v="13"/>
    </i>
    <i r="2">
      <x v="100"/>
    </i>
    <i r="2">
      <x v="114"/>
    </i>
    <i r="2">
      <x v="117"/>
    </i>
    <i r="2">
      <x v="118"/>
    </i>
    <i r="2">
      <x v="121"/>
    </i>
    <i r="2">
      <x v="150"/>
    </i>
    <i r="2">
      <x v="153"/>
    </i>
    <i r="1">
      <x v="3"/>
    </i>
    <i r="2">
      <x v="152"/>
    </i>
    <i>
      <x v="2"/>
    </i>
    <i r="1">
      <x/>
    </i>
    <i r="2">
      <x v="77"/>
    </i>
    <i r="2">
      <x v="111"/>
    </i>
    <i r="2">
      <x v="123"/>
    </i>
    <i>
      <x v="3"/>
    </i>
    <i r="1">
      <x/>
    </i>
    <i r="2">
      <x v="102"/>
    </i>
    <i>
      <x v="4"/>
    </i>
    <i r="1">
      <x v="3"/>
    </i>
    <i r="2">
      <x v="113"/>
    </i>
    <i r="2">
      <x v="135"/>
    </i>
    <i>
      <x v="5"/>
    </i>
    <i r="1">
      <x v="2"/>
    </i>
    <i r="2">
      <x v="146"/>
    </i>
    <i>
      <x v="6"/>
    </i>
    <i r="1">
      <x v="2"/>
    </i>
    <i r="2">
      <x v="86"/>
    </i>
    <i r="2">
      <x v="142"/>
    </i>
    <i r="1">
      <x v="3"/>
    </i>
    <i r="2">
      <x v="151"/>
    </i>
    <i>
      <x v="7"/>
    </i>
    <i r="1">
      <x v="2"/>
    </i>
    <i r="2">
      <x v="127"/>
    </i>
    <i>
      <x v="8"/>
    </i>
    <i r="1">
      <x v="1"/>
    </i>
    <i r="2">
      <x v="144"/>
    </i>
    <i r="1">
      <x v="2"/>
    </i>
    <i r="2">
      <x v="145"/>
    </i>
    <i r="2">
      <x v="148"/>
    </i>
    <i r="1">
      <x v="5"/>
    </i>
    <i r="2">
      <x v="136"/>
    </i>
    <i>
      <x v="9"/>
    </i>
    <i r="1">
      <x v="3"/>
    </i>
    <i r="2">
      <x v="133"/>
    </i>
    <i r="2">
      <x v="140"/>
    </i>
    <i>
      <x v="10"/>
    </i>
    <i r="1">
      <x v="2"/>
    </i>
    <i r="2">
      <x v="119"/>
    </i>
    <i>
      <x v="11"/>
    </i>
    <i r="1">
      <x/>
    </i>
    <i r="2">
      <x v="69"/>
    </i>
    <i r="2">
      <x v="112"/>
    </i>
    <i r="2">
      <x v="128"/>
    </i>
    <i r="2">
      <x v="153"/>
    </i>
    <i r="1">
      <x v="1"/>
    </i>
    <i r="2">
      <x v="153"/>
    </i>
    <i>
      <x v="12"/>
    </i>
    <i r="1">
      <x/>
    </i>
    <i r="2">
      <x v="120"/>
    </i>
    <i>
      <x v="13"/>
    </i>
    <i r="1">
      <x v="5"/>
    </i>
    <i r="2">
      <x v="90"/>
    </i>
    <i>
      <x v="14"/>
    </i>
    <i r="1">
      <x/>
    </i>
    <i r="2">
      <x/>
    </i>
    <i r="2">
      <x v="2"/>
    </i>
    <i r="2">
      <x v="4"/>
    </i>
    <i r="2">
      <x v="5"/>
    </i>
    <i r="2">
      <x v="6"/>
    </i>
    <i r="2">
      <x v="10"/>
    </i>
    <i r="2">
      <x v="11"/>
    </i>
    <i r="2">
      <x v="12"/>
    </i>
    <i r="2">
      <x v="15"/>
    </i>
    <i r="2">
      <x v="16"/>
    </i>
    <i r="2">
      <x v="18"/>
    </i>
    <i r="2">
      <x v="19"/>
    </i>
    <i r="2">
      <x v="21"/>
    </i>
    <i r="2">
      <x v="23"/>
    </i>
    <i r="2">
      <x v="24"/>
    </i>
    <i r="2">
      <x v="25"/>
    </i>
    <i r="2">
      <x v="26"/>
    </i>
    <i r="2">
      <x v="27"/>
    </i>
    <i r="2">
      <x v="28"/>
    </i>
    <i r="2">
      <x v="29"/>
    </i>
    <i r="2">
      <x v="31"/>
    </i>
    <i r="2">
      <x v="33"/>
    </i>
    <i r="2">
      <x v="34"/>
    </i>
    <i r="2">
      <x v="40"/>
    </i>
    <i r="2">
      <x v="43"/>
    </i>
    <i r="2">
      <x v="44"/>
    </i>
    <i r="2">
      <x v="45"/>
    </i>
    <i r="2">
      <x v="46"/>
    </i>
    <i r="2">
      <x v="47"/>
    </i>
    <i r="2">
      <x v="48"/>
    </i>
    <i r="2">
      <x v="50"/>
    </i>
    <i r="2">
      <x v="51"/>
    </i>
    <i r="2">
      <x v="52"/>
    </i>
    <i r="2">
      <x v="53"/>
    </i>
    <i r="2">
      <x v="54"/>
    </i>
    <i r="2">
      <x v="55"/>
    </i>
    <i r="2">
      <x v="56"/>
    </i>
    <i r="2">
      <x v="57"/>
    </i>
    <i r="2">
      <x v="58"/>
    </i>
    <i r="2">
      <x v="60"/>
    </i>
    <i r="2">
      <x v="61"/>
    </i>
    <i r="2">
      <x v="63"/>
    </i>
    <i r="2">
      <x v="64"/>
    </i>
    <i r="2">
      <x v="65"/>
    </i>
    <i r="2">
      <x v="66"/>
    </i>
    <i r="2">
      <x v="67"/>
    </i>
    <i r="2">
      <x v="68"/>
    </i>
    <i r="2">
      <x v="70"/>
    </i>
    <i r="2">
      <x v="71"/>
    </i>
    <i r="2">
      <x v="72"/>
    </i>
    <i r="2">
      <x v="73"/>
    </i>
    <i r="2">
      <x v="74"/>
    </i>
    <i r="2">
      <x v="75"/>
    </i>
    <i r="2">
      <x v="76"/>
    </i>
    <i r="2">
      <x v="78"/>
    </i>
    <i r="2">
      <x v="79"/>
    </i>
    <i r="2">
      <x v="80"/>
    </i>
    <i r="2">
      <x v="81"/>
    </i>
    <i r="2">
      <x v="82"/>
    </i>
    <i r="2">
      <x v="83"/>
    </i>
    <i r="2">
      <x v="84"/>
    </i>
    <i r="2">
      <x v="85"/>
    </i>
    <i r="2">
      <x v="87"/>
    </i>
    <i r="2">
      <x v="88"/>
    </i>
    <i r="2">
      <x v="89"/>
    </i>
    <i r="2">
      <x v="91"/>
    </i>
    <i r="2">
      <x v="92"/>
    </i>
    <i r="2">
      <x v="93"/>
    </i>
    <i r="2">
      <x v="94"/>
    </i>
    <i r="2">
      <x v="95"/>
    </i>
    <i r="2">
      <x v="96"/>
    </i>
    <i r="2">
      <x v="97"/>
    </i>
    <i r="2">
      <x v="99"/>
    </i>
    <i r="2">
      <x v="101"/>
    </i>
    <i r="2">
      <x v="103"/>
    </i>
    <i r="2">
      <x v="104"/>
    </i>
    <i r="2">
      <x v="105"/>
    </i>
    <i r="2">
      <x v="107"/>
    </i>
    <i r="2">
      <x v="108"/>
    </i>
    <i r="2">
      <x v="109"/>
    </i>
    <i r="1">
      <x v="3"/>
    </i>
    <i r="2">
      <x v="41"/>
    </i>
    <i r="1">
      <x v="5"/>
    </i>
    <i r="2">
      <x v="9"/>
    </i>
    <i r="2">
      <x v="14"/>
    </i>
    <i r="2">
      <x v="22"/>
    </i>
    <i r="2">
      <x v="32"/>
    </i>
    <i r="2">
      <x v="37"/>
    </i>
    <i r="2">
      <x v="129"/>
    </i>
    <i>
      <x v="15"/>
    </i>
    <i r="1">
      <x/>
    </i>
    <i r="2">
      <x v="35"/>
    </i>
    <i>
      <x v="16"/>
    </i>
    <i r="1">
      <x v="2"/>
    </i>
    <i r="2">
      <x v="147"/>
    </i>
    <i>
      <x v="17"/>
    </i>
    <i r="1">
      <x/>
    </i>
    <i r="2">
      <x v="122"/>
    </i>
    <i r="2">
      <x v="130"/>
    </i>
    <i>
      <x v="18"/>
    </i>
    <i r="1">
      <x/>
    </i>
    <i r="2">
      <x v="59"/>
    </i>
    <i r="1">
      <x v="3"/>
    </i>
    <i r="2">
      <x v="141"/>
    </i>
    <i>
      <x v="19"/>
    </i>
    <i r="1">
      <x v="3"/>
    </i>
    <i r="2">
      <x v="125"/>
    </i>
    <i r="2">
      <x v="131"/>
    </i>
    <i r="2">
      <x v="132"/>
    </i>
    <i r="2">
      <x v="134"/>
    </i>
    <i r="2">
      <x v="138"/>
    </i>
    <i>
      <x v="20"/>
    </i>
    <i r="1">
      <x v="2"/>
    </i>
    <i r="2">
      <x v="124"/>
    </i>
    <i>
      <x v="21"/>
    </i>
    <i r="1">
      <x v="2"/>
    </i>
    <i r="2">
      <x v="115"/>
    </i>
    <i>
      <x v="22"/>
    </i>
    <i r="1">
      <x/>
    </i>
    <i r="2">
      <x v="98"/>
    </i>
    <i r="2">
      <x v="118"/>
    </i>
    <i>
      <x v="23"/>
    </i>
    <i r="1">
      <x v="2"/>
    </i>
    <i r="2">
      <x v="110"/>
    </i>
    <i>
      <x v="24"/>
    </i>
    <i r="1">
      <x/>
    </i>
    <i r="2">
      <x v="149"/>
    </i>
    <i r="1">
      <x v="5"/>
    </i>
    <i r="2">
      <x v="118"/>
    </i>
    <i>
      <x v="25"/>
    </i>
    <i r="1">
      <x/>
    </i>
    <i r="2">
      <x v="49"/>
    </i>
    <i>
      <x v="26"/>
    </i>
    <i r="1">
      <x/>
    </i>
    <i r="2">
      <x v="86"/>
    </i>
    <i r="2">
      <x v="129"/>
    </i>
    <i r="2">
      <x v="137"/>
    </i>
    <i r="1">
      <x v="2"/>
    </i>
    <i r="2">
      <x v="106"/>
    </i>
    <i r="2">
      <x v="118"/>
    </i>
    <i r="1">
      <x v="3"/>
    </i>
    <i r="2">
      <x v="126"/>
    </i>
    <i>
      <x v="27"/>
    </i>
    <i r="1">
      <x/>
    </i>
    <i r="2">
      <x v="1"/>
    </i>
    <i r="2">
      <x v="7"/>
    </i>
    <i r="2">
      <x v="8"/>
    </i>
    <i r="2">
      <x v="17"/>
    </i>
    <i r="2">
      <x v="20"/>
    </i>
    <i r="2">
      <x v="30"/>
    </i>
    <i r="2">
      <x v="36"/>
    </i>
    <i r="2">
      <x v="38"/>
    </i>
    <i r="2">
      <x v="39"/>
    </i>
    <i r="2">
      <x v="42"/>
    </i>
    <i r="2">
      <x v="62"/>
    </i>
    <i r="2">
      <x v="116"/>
    </i>
    <i>
      <x v="28"/>
    </i>
    <i r="1">
      <x/>
    </i>
    <i r="2">
      <x v="153"/>
    </i>
    <i r="1">
      <x v="1"/>
    </i>
    <i r="2">
      <x v="153"/>
    </i>
    <i r="1">
      <x v="2"/>
    </i>
    <i r="2">
      <x v="153"/>
    </i>
    <i r="1">
      <x v="3"/>
    </i>
    <i r="2">
      <x v="153"/>
    </i>
    <i r="1">
      <x v="4"/>
    </i>
    <i r="2">
      <x v="153"/>
    </i>
    <i r="1">
      <x v="5"/>
    </i>
    <i r="2">
      <x v="153"/>
    </i>
    <i r="1">
      <x v="6"/>
    </i>
    <i r="2">
      <x v="153"/>
    </i>
    <i t="grand">
      <x/>
    </i>
  </rowItems>
  <colItems count="1">
    <i/>
  </colItems>
  <formats count="15">
    <format dxfId="37">
      <pivotArea dataOnly="0" labelOnly="1" fieldPosition="0">
        <references count="1">
          <reference field="10" count="1">
            <x v="0"/>
          </reference>
        </references>
      </pivotArea>
    </format>
    <format dxfId="36">
      <pivotArea dataOnly="0" labelOnly="1" fieldPosition="0">
        <references count="1">
          <reference field="10" count="1">
            <x v="1"/>
          </reference>
        </references>
      </pivotArea>
    </format>
    <format dxfId="35">
      <pivotArea dataOnly="0" labelOnly="1" fieldPosition="0">
        <references count="1">
          <reference field="10" count="1">
            <x v="3"/>
          </reference>
        </references>
      </pivotArea>
    </format>
    <format dxfId="34">
      <pivotArea dataOnly="0" labelOnly="1" fieldPosition="0">
        <references count="1">
          <reference field="10" count="1">
            <x v="6"/>
          </reference>
        </references>
      </pivotArea>
    </format>
    <format dxfId="33">
      <pivotArea dataOnly="0" labelOnly="1" fieldPosition="0">
        <references count="1">
          <reference field="10" count="1">
            <x v="7"/>
          </reference>
        </references>
      </pivotArea>
    </format>
    <format dxfId="32">
      <pivotArea dataOnly="0" labelOnly="1" fieldPosition="0">
        <references count="1">
          <reference field="10" count="1">
            <x v="11"/>
          </reference>
        </references>
      </pivotArea>
    </format>
    <format dxfId="31">
      <pivotArea dataOnly="0" labelOnly="1" fieldPosition="0">
        <references count="1">
          <reference field="10" count="1">
            <x v="16"/>
          </reference>
        </references>
      </pivotArea>
    </format>
    <format dxfId="30">
      <pivotArea dataOnly="0" labelOnly="1" fieldPosition="0">
        <references count="1">
          <reference field="10" count="1">
            <x v="17"/>
          </reference>
        </references>
      </pivotArea>
    </format>
    <format dxfId="29">
      <pivotArea dataOnly="0" labelOnly="1" fieldPosition="0">
        <references count="1">
          <reference field="10" count="1">
            <x v="18"/>
          </reference>
        </references>
      </pivotArea>
    </format>
    <format dxfId="28">
      <pivotArea dataOnly="0" labelOnly="1" fieldPosition="0">
        <references count="1">
          <reference field="10" count="1">
            <x v="19"/>
          </reference>
        </references>
      </pivotArea>
    </format>
    <format dxfId="27">
      <pivotArea dataOnly="0" labelOnly="1" fieldPosition="0">
        <references count="1">
          <reference field="10" count="1">
            <x v="22"/>
          </reference>
        </references>
      </pivotArea>
    </format>
    <format dxfId="26">
      <pivotArea dataOnly="0" labelOnly="1" fieldPosition="0">
        <references count="1">
          <reference field="10" count="1">
            <x v="23"/>
          </reference>
        </references>
      </pivotArea>
    </format>
    <format dxfId="25">
      <pivotArea dataOnly="0" labelOnly="1" fieldPosition="0">
        <references count="1">
          <reference field="10" count="1">
            <x v="24"/>
          </reference>
        </references>
      </pivotArea>
    </format>
    <format dxfId="24">
      <pivotArea dataOnly="0" labelOnly="1" fieldPosition="0">
        <references count="1">
          <reference field="10" count="1">
            <x v="25"/>
          </reference>
        </references>
      </pivotArea>
    </format>
    <format dxfId="23">
      <pivotArea dataOnly="0" labelOnly="1" grandRow="1" outline="0" fieldPosition="0"/>
    </format>
  </formats>
  <pivotTableStyleInfo name="PivotStyleLight16" showRowHeaders="1" showColHeaders="1" showRowStripes="0" showColStripes="0" showLastColumn="1"/>
</pivotTableDefinition>
</file>

<file path=xl/pivotTables/pivotTable3.xml><?xml version="1.0" encoding="utf-8"?>
<pivotTableDefinition xmlns="http://schemas.openxmlformats.org/spreadsheetml/2006/main" name="PivotTable17" cacheId="3"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rowHeaderCaption="Montos en Gestión">
  <location ref="C1:C46" firstHeaderRow="1" firstDataRow="1" firstDataCol="1"/>
  <pivotFields count="2">
    <pivotField axis="axisRow" showAll="0" defaultSubtotal="0">
      <items count="30">
        <item x="22"/>
        <item x="21"/>
        <item x="12"/>
        <item x="1"/>
        <item x="15"/>
        <item x="5"/>
        <item x="26"/>
        <item x="2"/>
        <item x="16"/>
        <item x="11"/>
        <item x="13"/>
        <item x="25"/>
        <item x="4"/>
        <item x="24"/>
        <item x="10"/>
        <item x="20"/>
        <item x="17"/>
        <item x="14"/>
        <item x="23"/>
        <item x="6"/>
        <item x="19"/>
        <item x="9"/>
        <item x="18"/>
        <item x="29"/>
        <item x="8"/>
        <item x="7"/>
        <item x="27"/>
        <item x="28"/>
        <item x="3"/>
        <item x="0"/>
      </items>
    </pivotField>
    <pivotField axis="axisRow" showAll="0">
      <items count="14">
        <item x="9"/>
        <item x="12"/>
        <item x="1"/>
        <item x="3"/>
        <item x="10"/>
        <item x="11"/>
        <item x="6"/>
        <item x="8"/>
        <item x="5"/>
        <item x="4"/>
        <item x="7"/>
        <item x="0"/>
        <item x="2"/>
        <item t="default"/>
      </items>
    </pivotField>
  </pivotFields>
  <rowFields count="2">
    <field x="1"/>
    <field x="0"/>
  </rowFields>
  <rowItems count="45">
    <i>
      <x/>
    </i>
    <i r="1">
      <x v="18"/>
    </i>
    <i>
      <x v="1"/>
    </i>
    <i r="1">
      <x v="6"/>
    </i>
    <i r="1">
      <x v="26"/>
    </i>
    <i>
      <x v="2"/>
    </i>
    <i r="1">
      <x v="2"/>
    </i>
    <i r="1">
      <x v="3"/>
    </i>
    <i r="1">
      <x v="4"/>
    </i>
    <i r="1">
      <x v="7"/>
    </i>
    <i r="1">
      <x v="8"/>
    </i>
    <i r="1">
      <x v="9"/>
    </i>
    <i r="1">
      <x v="10"/>
    </i>
    <i r="1">
      <x v="12"/>
    </i>
    <i r="1">
      <x v="16"/>
    </i>
    <i r="1">
      <x v="17"/>
    </i>
    <i r="1">
      <x v="22"/>
    </i>
    <i r="1">
      <x v="23"/>
    </i>
    <i r="1">
      <x v="27"/>
    </i>
    <i>
      <x v="3"/>
    </i>
    <i r="1">
      <x v="5"/>
    </i>
    <i>
      <x v="4"/>
    </i>
    <i r="1">
      <x v="11"/>
    </i>
    <i r="1">
      <x v="13"/>
    </i>
    <i>
      <x v="5"/>
    </i>
    <i r="1">
      <x v="19"/>
    </i>
    <i>
      <x v="6"/>
    </i>
    <i r="1">
      <x v="20"/>
    </i>
    <i>
      <x v="7"/>
    </i>
    <i r="1">
      <x/>
    </i>
    <i r="1">
      <x v="1"/>
    </i>
    <i>
      <x v="8"/>
    </i>
    <i r="1">
      <x v="14"/>
    </i>
    <i r="1">
      <x v="21"/>
    </i>
    <i r="1">
      <x v="24"/>
    </i>
    <i r="1">
      <x v="25"/>
    </i>
    <i>
      <x v="9"/>
    </i>
    <i r="1">
      <x v="19"/>
    </i>
    <i>
      <x v="10"/>
    </i>
    <i r="1">
      <x v="15"/>
    </i>
    <i>
      <x v="11"/>
    </i>
    <i r="1">
      <x v="29"/>
    </i>
    <i>
      <x v="12"/>
    </i>
    <i r="1">
      <x v="28"/>
    </i>
    <i t="grand">
      <x/>
    </i>
  </rowItems>
  <colItems count="1">
    <i/>
  </colItems>
  <pivotTableStyleInfo name="PivotStyleLight16" showRowHeaders="1" showColHeaders="1" showRowStripes="0" showColStripes="0" showLastColumn="1"/>
</pivotTableDefinition>
</file>

<file path=xl/pivotTables/pivotTable4.xml><?xml version="1.0" encoding="utf-8"?>
<pivotTableDefinition xmlns="http://schemas.openxmlformats.org/spreadsheetml/2006/main" name="PivotTable11" cacheId="2"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rowHeaderCaption="Montos aprobados">
  <location ref="A1:A192" firstHeaderRow="1" firstDataRow="1" firstDataCol="1"/>
  <pivotFields count="3">
    <pivotField axis="axisRow" showAll="0" defaultSubtotal="0">
      <items count="154">
        <item x="28"/>
        <item x="18"/>
        <item x="26"/>
        <item x="103"/>
        <item x="81"/>
        <item x="89"/>
        <item x="24"/>
        <item x="20"/>
        <item x="15"/>
        <item x="124"/>
        <item x="29"/>
        <item x="88"/>
        <item x="27"/>
        <item x="104"/>
        <item x="123"/>
        <item x="46"/>
        <item x="97"/>
        <item x="22"/>
        <item x="55"/>
        <item x="78"/>
        <item x="13"/>
        <item x="91"/>
        <item x="127"/>
        <item x="23"/>
        <item x="48"/>
        <item x="45"/>
        <item x="52"/>
        <item x="49"/>
        <item x="57"/>
        <item x="100"/>
        <item x="19"/>
        <item x="43"/>
        <item x="125"/>
        <item x="63"/>
        <item x="25"/>
        <item x="105"/>
        <item x="17"/>
        <item x="126"/>
        <item x="14"/>
        <item x="12"/>
        <item x="86"/>
        <item x="119"/>
        <item x="21"/>
        <item x="54"/>
        <item x="95"/>
        <item x="42"/>
        <item x="101"/>
        <item x="64"/>
        <item x="34"/>
        <item x="4"/>
        <item x="39"/>
        <item x="50"/>
        <item x="82"/>
        <item x="47"/>
        <item x="61"/>
        <item x="98"/>
        <item x="90"/>
        <item x="96"/>
        <item x="44"/>
        <item x="3"/>
        <item x="80"/>
        <item x="75"/>
        <item x="16"/>
        <item x="35"/>
        <item x="33"/>
        <item x="70"/>
        <item x="84"/>
        <item x="37"/>
        <item x="72"/>
        <item x="134"/>
        <item x="94"/>
        <item x="68"/>
        <item x="60"/>
        <item x="66"/>
        <item x="40"/>
        <item x="85"/>
        <item x="41"/>
        <item x="8"/>
        <item x="36"/>
        <item x="76"/>
        <item x="69"/>
        <item x="99"/>
        <item x="53"/>
        <item x="62"/>
        <item x="93"/>
        <item x="83"/>
        <item x="107"/>
        <item x="51"/>
        <item x="102"/>
        <item x="71"/>
        <item x="128"/>
        <item x="38"/>
        <item x="56"/>
        <item x="79"/>
        <item x="65"/>
        <item x="87"/>
        <item x="67"/>
        <item x="30"/>
        <item x="135"/>
        <item x="31"/>
        <item x="6"/>
        <item x="73"/>
        <item x="152"/>
        <item x="74"/>
        <item x="58"/>
        <item x="59"/>
        <item x="129"/>
        <item x="32"/>
        <item x="92"/>
        <item x="77"/>
        <item x="111"/>
        <item x="7"/>
        <item x="133"/>
        <item x="118"/>
        <item x="150"/>
        <item x="109"/>
        <item x="11"/>
        <item x="0"/>
        <item x="122"/>
        <item x="143"/>
        <item x="10"/>
        <item x="5"/>
        <item x="132"/>
        <item x="9"/>
        <item x="108"/>
        <item x="114"/>
        <item x="120"/>
        <item x="144"/>
        <item x="2"/>
        <item x="121"/>
        <item x="131"/>
        <item x="115"/>
        <item x="112"/>
        <item x="145"/>
        <item x="116"/>
        <item x="117"/>
        <item x="140"/>
        <item x="130"/>
        <item x="113"/>
        <item x="106"/>
        <item x="146"/>
        <item x="137"/>
        <item x="147"/>
        <item x="136"/>
        <item x="138"/>
        <item x="141"/>
        <item x="110"/>
        <item x="142"/>
        <item x="139"/>
        <item x="153"/>
        <item x="149"/>
        <item x="148"/>
        <item x="151"/>
        <item x="1"/>
      </items>
    </pivotField>
    <pivotField axis="axisRow" showAll="0">
      <items count="30">
        <item x="10"/>
        <item x="0"/>
        <item x="5"/>
        <item x="28"/>
        <item x="17"/>
        <item x="14"/>
        <item x="11"/>
        <item x="26"/>
        <item x="23"/>
        <item x="27"/>
        <item x="25"/>
        <item x="2"/>
        <item x="6"/>
        <item x="20"/>
        <item x="8"/>
        <item x="9"/>
        <item x="24"/>
        <item x="21"/>
        <item x="3"/>
        <item x="16"/>
        <item x="12"/>
        <item x="13"/>
        <item x="22"/>
        <item x="15"/>
        <item x="19"/>
        <item x="4"/>
        <item x="18"/>
        <item x="7"/>
        <item x="1"/>
        <item t="default"/>
      </items>
    </pivotField>
    <pivotField showAll="0" defaultSubtotal="0">
      <items count="30">
        <item x="22"/>
        <item x="21"/>
        <item x="12"/>
        <item x="1"/>
        <item x="15"/>
        <item x="5"/>
        <item x="26"/>
        <item x="2"/>
        <item x="16"/>
        <item x="11"/>
        <item x="13"/>
        <item x="25"/>
        <item x="4"/>
        <item x="24"/>
        <item x="10"/>
        <item x="20"/>
        <item x="17"/>
        <item x="14"/>
        <item x="23"/>
        <item x="6"/>
        <item x="19"/>
        <item x="9"/>
        <item x="18"/>
        <item x="29"/>
        <item x="8"/>
        <item x="7"/>
        <item x="27"/>
        <item x="28"/>
        <item x="3"/>
        <item x="0"/>
      </items>
    </pivotField>
  </pivotFields>
  <rowFields count="2">
    <field x="1"/>
    <field x="0"/>
  </rowFields>
  <rowItems count="191">
    <i>
      <x/>
    </i>
    <i r="1">
      <x v="139"/>
    </i>
    <i r="1">
      <x v="143"/>
    </i>
    <i>
      <x v="1"/>
    </i>
    <i r="1">
      <x v="3"/>
    </i>
    <i r="1">
      <x v="13"/>
    </i>
    <i r="1">
      <x v="100"/>
    </i>
    <i r="1">
      <x v="114"/>
    </i>
    <i r="1">
      <x v="117"/>
    </i>
    <i r="1">
      <x v="118"/>
    </i>
    <i r="1">
      <x v="121"/>
    </i>
    <i r="1">
      <x v="150"/>
    </i>
    <i r="1">
      <x v="152"/>
    </i>
    <i r="1">
      <x v="153"/>
    </i>
    <i>
      <x v="2"/>
    </i>
    <i r="1">
      <x v="77"/>
    </i>
    <i r="1">
      <x v="111"/>
    </i>
    <i r="1">
      <x v="123"/>
    </i>
    <i>
      <x v="3"/>
    </i>
    <i r="1">
      <x v="102"/>
    </i>
    <i>
      <x v="4"/>
    </i>
    <i r="1">
      <x v="113"/>
    </i>
    <i r="1">
      <x v="135"/>
    </i>
    <i>
      <x v="5"/>
    </i>
    <i r="1">
      <x v="146"/>
    </i>
    <i>
      <x v="6"/>
    </i>
    <i r="1">
      <x v="86"/>
    </i>
    <i r="1">
      <x v="142"/>
    </i>
    <i r="1">
      <x v="151"/>
    </i>
    <i>
      <x v="7"/>
    </i>
    <i r="1">
      <x v="127"/>
    </i>
    <i>
      <x v="8"/>
    </i>
    <i r="1">
      <x v="136"/>
    </i>
    <i r="1">
      <x v="144"/>
    </i>
    <i r="1">
      <x v="145"/>
    </i>
    <i r="1">
      <x v="148"/>
    </i>
    <i>
      <x v="9"/>
    </i>
    <i r="1">
      <x v="133"/>
    </i>
    <i r="1">
      <x v="140"/>
    </i>
    <i>
      <x v="10"/>
    </i>
    <i r="1">
      <x v="119"/>
    </i>
    <i>
      <x v="11"/>
    </i>
    <i r="1">
      <x v="69"/>
    </i>
    <i r="1">
      <x v="112"/>
    </i>
    <i r="1">
      <x v="128"/>
    </i>
    <i r="1">
      <x v="153"/>
    </i>
    <i>
      <x v="12"/>
    </i>
    <i r="1">
      <x v="120"/>
    </i>
    <i>
      <x v="13"/>
    </i>
    <i r="1">
      <x v="90"/>
    </i>
    <i>
      <x v="14"/>
    </i>
    <i r="1">
      <x/>
    </i>
    <i r="1">
      <x v="2"/>
    </i>
    <i r="1">
      <x v="4"/>
    </i>
    <i r="1">
      <x v="5"/>
    </i>
    <i r="1">
      <x v="6"/>
    </i>
    <i r="1">
      <x v="9"/>
    </i>
    <i r="1">
      <x v="10"/>
    </i>
    <i r="1">
      <x v="11"/>
    </i>
    <i r="1">
      <x v="12"/>
    </i>
    <i r="1">
      <x v="14"/>
    </i>
    <i r="1">
      <x v="15"/>
    </i>
    <i r="1">
      <x v="16"/>
    </i>
    <i r="1">
      <x v="18"/>
    </i>
    <i r="1">
      <x v="19"/>
    </i>
    <i r="1">
      <x v="21"/>
    </i>
    <i r="1">
      <x v="22"/>
    </i>
    <i r="1">
      <x v="23"/>
    </i>
    <i r="1">
      <x v="24"/>
    </i>
    <i r="1">
      <x v="25"/>
    </i>
    <i r="1">
      <x v="26"/>
    </i>
    <i r="1">
      <x v="27"/>
    </i>
    <i r="1">
      <x v="28"/>
    </i>
    <i r="1">
      <x v="29"/>
    </i>
    <i r="1">
      <x v="31"/>
    </i>
    <i r="1">
      <x v="32"/>
    </i>
    <i r="1">
      <x v="33"/>
    </i>
    <i r="1">
      <x v="34"/>
    </i>
    <i r="1">
      <x v="37"/>
    </i>
    <i r="1">
      <x v="40"/>
    </i>
    <i r="1">
      <x v="41"/>
    </i>
    <i r="1">
      <x v="43"/>
    </i>
    <i r="1">
      <x v="44"/>
    </i>
    <i r="1">
      <x v="45"/>
    </i>
    <i r="1">
      <x v="46"/>
    </i>
    <i r="1">
      <x v="47"/>
    </i>
    <i r="1">
      <x v="48"/>
    </i>
    <i r="1">
      <x v="50"/>
    </i>
    <i r="1">
      <x v="51"/>
    </i>
    <i r="1">
      <x v="52"/>
    </i>
    <i r="1">
      <x v="53"/>
    </i>
    <i r="1">
      <x v="54"/>
    </i>
    <i r="1">
      <x v="55"/>
    </i>
    <i r="1">
      <x v="56"/>
    </i>
    <i r="1">
      <x v="57"/>
    </i>
    <i r="1">
      <x v="58"/>
    </i>
    <i r="1">
      <x v="60"/>
    </i>
    <i r="1">
      <x v="61"/>
    </i>
    <i r="1">
      <x v="63"/>
    </i>
    <i r="1">
      <x v="64"/>
    </i>
    <i r="1">
      <x v="65"/>
    </i>
    <i r="1">
      <x v="66"/>
    </i>
    <i r="1">
      <x v="67"/>
    </i>
    <i r="1">
      <x v="68"/>
    </i>
    <i r="1">
      <x v="70"/>
    </i>
    <i r="1">
      <x v="71"/>
    </i>
    <i r="1">
      <x v="72"/>
    </i>
    <i r="1">
      <x v="73"/>
    </i>
    <i r="1">
      <x v="74"/>
    </i>
    <i r="1">
      <x v="75"/>
    </i>
    <i r="1">
      <x v="76"/>
    </i>
    <i r="1">
      <x v="78"/>
    </i>
    <i r="1">
      <x v="79"/>
    </i>
    <i r="1">
      <x v="80"/>
    </i>
    <i r="1">
      <x v="81"/>
    </i>
    <i r="1">
      <x v="82"/>
    </i>
    <i r="1">
      <x v="83"/>
    </i>
    <i r="1">
      <x v="84"/>
    </i>
    <i r="1">
      <x v="85"/>
    </i>
    <i r="1">
      <x v="87"/>
    </i>
    <i r="1">
      <x v="88"/>
    </i>
    <i r="1">
      <x v="89"/>
    </i>
    <i r="1">
      <x v="91"/>
    </i>
    <i r="1">
      <x v="92"/>
    </i>
    <i r="1">
      <x v="93"/>
    </i>
    <i r="1">
      <x v="94"/>
    </i>
    <i r="1">
      <x v="95"/>
    </i>
    <i r="1">
      <x v="96"/>
    </i>
    <i r="1">
      <x v="97"/>
    </i>
    <i r="1">
      <x v="99"/>
    </i>
    <i r="1">
      <x v="101"/>
    </i>
    <i r="1">
      <x v="103"/>
    </i>
    <i r="1">
      <x v="104"/>
    </i>
    <i r="1">
      <x v="105"/>
    </i>
    <i r="1">
      <x v="107"/>
    </i>
    <i r="1">
      <x v="108"/>
    </i>
    <i r="1">
      <x v="109"/>
    </i>
    <i r="1">
      <x v="129"/>
    </i>
    <i>
      <x v="15"/>
    </i>
    <i r="1">
      <x v="35"/>
    </i>
    <i>
      <x v="16"/>
    </i>
    <i r="1">
      <x v="147"/>
    </i>
    <i>
      <x v="17"/>
    </i>
    <i r="1">
      <x v="122"/>
    </i>
    <i r="1">
      <x v="130"/>
    </i>
    <i>
      <x v="18"/>
    </i>
    <i r="1">
      <x v="59"/>
    </i>
    <i r="1">
      <x v="141"/>
    </i>
    <i>
      <x v="19"/>
    </i>
    <i r="1">
      <x v="125"/>
    </i>
    <i r="1">
      <x v="131"/>
    </i>
    <i r="1">
      <x v="132"/>
    </i>
    <i r="1">
      <x v="134"/>
    </i>
    <i r="1">
      <x v="138"/>
    </i>
    <i>
      <x v="20"/>
    </i>
    <i r="1">
      <x v="124"/>
    </i>
    <i>
      <x v="21"/>
    </i>
    <i r="1">
      <x v="115"/>
    </i>
    <i>
      <x v="22"/>
    </i>
    <i r="1">
      <x v="98"/>
    </i>
    <i r="1">
      <x v="118"/>
    </i>
    <i>
      <x v="23"/>
    </i>
    <i r="1">
      <x v="110"/>
    </i>
    <i>
      <x v="24"/>
    </i>
    <i r="1">
      <x v="118"/>
    </i>
    <i r="1">
      <x v="149"/>
    </i>
    <i>
      <x v="25"/>
    </i>
    <i r="1">
      <x v="49"/>
    </i>
    <i>
      <x v="26"/>
    </i>
    <i r="1">
      <x v="86"/>
    </i>
    <i r="1">
      <x v="106"/>
    </i>
    <i r="1">
      <x v="118"/>
    </i>
    <i r="1">
      <x v="126"/>
    </i>
    <i r="1">
      <x v="129"/>
    </i>
    <i r="1">
      <x v="137"/>
    </i>
    <i>
      <x v="27"/>
    </i>
    <i r="1">
      <x v="1"/>
    </i>
    <i r="1">
      <x v="7"/>
    </i>
    <i r="1">
      <x v="8"/>
    </i>
    <i r="1">
      <x v="17"/>
    </i>
    <i r="1">
      <x v="20"/>
    </i>
    <i r="1">
      <x v="30"/>
    </i>
    <i r="1">
      <x v="36"/>
    </i>
    <i r="1">
      <x v="38"/>
    </i>
    <i r="1">
      <x v="39"/>
    </i>
    <i r="1">
      <x v="42"/>
    </i>
    <i r="1">
      <x v="62"/>
    </i>
    <i r="1">
      <x v="116"/>
    </i>
    <i>
      <x v="28"/>
    </i>
    <i r="1">
      <x v="153"/>
    </i>
    <i t="grand">
      <x/>
    </i>
  </rowItems>
  <colItems count="1">
    <i/>
  </colItems>
  <pivotTableStyleInfo name="PivotStyleLight16" showRowHeaders="1" showColHeaders="1" showRowStripes="0" showColStripes="0" showLastColumn="1"/>
</pivotTableDefinition>
</file>

<file path=xl/pivotTables/pivotTable5.xml><?xml version="1.0" encoding="utf-8"?>
<pivotTableDefinition xmlns="http://schemas.openxmlformats.org/spreadsheetml/2006/main" name="PivotTable13" cacheId="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1:A173" firstHeaderRow="1" firstDataRow="1" firstDataCol="1"/>
  <pivotFields count="10">
    <pivotField axis="axisRow" showAll="0">
      <items count="8">
        <item n="1 Fomento Productivo" x="0"/>
        <item n="2 Institucionalidad" x="2"/>
        <item n="3 Medio Ambiente" x="3"/>
        <item n="4 Infraestructura " x="4"/>
        <item n="5 Innovación " x="1"/>
        <item n="6 Capacidades" x="6"/>
        <item x="5"/>
        <item t="default"/>
      </items>
    </pivotField>
    <pivotField showAll="0"/>
    <pivotField showAll="0"/>
    <pivotField showAll="0"/>
    <pivotField showAll="0"/>
    <pivotField showAll="0"/>
    <pivotField showAll="0"/>
    <pivotField showAll="0"/>
    <pivotField showAll="0"/>
    <pivotField axis="axisRow" showAll="0">
      <items count="155">
        <item x="28"/>
        <item x="18"/>
        <item x="26"/>
        <item x="103"/>
        <item x="81"/>
        <item x="89"/>
        <item x="24"/>
        <item x="20"/>
        <item x="15"/>
        <item x="124"/>
        <item x="29"/>
        <item x="88"/>
        <item x="27"/>
        <item x="104"/>
        <item x="123"/>
        <item x="46"/>
        <item x="97"/>
        <item x="22"/>
        <item x="55"/>
        <item x="78"/>
        <item x="13"/>
        <item x="91"/>
        <item x="127"/>
        <item x="23"/>
        <item x="48"/>
        <item x="45"/>
        <item x="52"/>
        <item x="49"/>
        <item x="57"/>
        <item x="100"/>
        <item x="19"/>
        <item x="43"/>
        <item x="125"/>
        <item x="63"/>
        <item x="25"/>
        <item x="105"/>
        <item x="17"/>
        <item x="126"/>
        <item x="14"/>
        <item x="12"/>
        <item x="86"/>
        <item x="119"/>
        <item x="21"/>
        <item x="54"/>
        <item x="95"/>
        <item x="42"/>
        <item x="101"/>
        <item x="64"/>
        <item x="34"/>
        <item x="4"/>
        <item x="39"/>
        <item x="50"/>
        <item x="82"/>
        <item x="47"/>
        <item x="61"/>
        <item x="98"/>
        <item x="90"/>
        <item x="96"/>
        <item x="44"/>
        <item x="3"/>
        <item x="80"/>
        <item x="75"/>
        <item x="16"/>
        <item x="35"/>
        <item x="33"/>
        <item x="70"/>
        <item x="84"/>
        <item x="37"/>
        <item x="72"/>
        <item x="134"/>
        <item x="94"/>
        <item x="68"/>
        <item x="60"/>
        <item x="66"/>
        <item x="40"/>
        <item x="85"/>
        <item x="41"/>
        <item x="8"/>
        <item x="36"/>
        <item x="76"/>
        <item x="69"/>
        <item x="99"/>
        <item x="53"/>
        <item x="62"/>
        <item x="93"/>
        <item x="83"/>
        <item x="107"/>
        <item x="51"/>
        <item x="102"/>
        <item x="71"/>
        <item x="128"/>
        <item x="38"/>
        <item x="56"/>
        <item x="79"/>
        <item x="65"/>
        <item x="87"/>
        <item x="67"/>
        <item x="30"/>
        <item x="135"/>
        <item x="31"/>
        <item x="6"/>
        <item x="73"/>
        <item x="152"/>
        <item x="74"/>
        <item x="58"/>
        <item x="59"/>
        <item x="129"/>
        <item x="32"/>
        <item x="92"/>
        <item x="77"/>
        <item x="111"/>
        <item x="7"/>
        <item x="133"/>
        <item x="118"/>
        <item x="150"/>
        <item x="109"/>
        <item x="11"/>
        <item x="0"/>
        <item x="122"/>
        <item x="143"/>
        <item x="10"/>
        <item x="5"/>
        <item x="132"/>
        <item x="9"/>
        <item x="108"/>
        <item x="114"/>
        <item x="120"/>
        <item x="144"/>
        <item x="2"/>
        <item x="121"/>
        <item x="131"/>
        <item x="115"/>
        <item x="112"/>
        <item x="145"/>
        <item x="116"/>
        <item x="117"/>
        <item x="140"/>
        <item x="130"/>
        <item x="113"/>
        <item x="106"/>
        <item x="146"/>
        <item x="137"/>
        <item x="147"/>
        <item x="136"/>
        <item x="138"/>
        <item x="141"/>
        <item x="110"/>
        <item x="142"/>
        <item x="139"/>
        <item x="153"/>
        <item x="149"/>
        <item x="148"/>
        <item x="151"/>
        <item x="1"/>
        <item t="default"/>
      </items>
    </pivotField>
  </pivotFields>
  <rowFields count="2">
    <field x="0"/>
    <field x="9"/>
  </rowFields>
  <rowItems count="172">
    <i>
      <x/>
    </i>
    <i r="1">
      <x/>
    </i>
    <i r="1">
      <x v="1"/>
    </i>
    <i r="1">
      <x v="2"/>
    </i>
    <i r="1">
      <x v="3"/>
    </i>
    <i r="1">
      <x v="4"/>
    </i>
    <i r="1">
      <x v="5"/>
    </i>
    <i r="1">
      <x v="6"/>
    </i>
    <i r="1">
      <x v="7"/>
    </i>
    <i r="1">
      <x v="8"/>
    </i>
    <i r="1">
      <x v="10"/>
    </i>
    <i r="1">
      <x v="11"/>
    </i>
    <i r="1">
      <x v="12"/>
    </i>
    <i r="1">
      <x v="13"/>
    </i>
    <i r="1">
      <x v="15"/>
    </i>
    <i r="1">
      <x v="16"/>
    </i>
    <i r="1">
      <x v="17"/>
    </i>
    <i r="1">
      <x v="18"/>
    </i>
    <i r="1">
      <x v="19"/>
    </i>
    <i r="1">
      <x v="20"/>
    </i>
    <i r="1">
      <x v="21"/>
    </i>
    <i r="1">
      <x v="23"/>
    </i>
    <i r="1">
      <x v="24"/>
    </i>
    <i r="1">
      <x v="25"/>
    </i>
    <i r="1">
      <x v="26"/>
    </i>
    <i r="1">
      <x v="27"/>
    </i>
    <i r="1">
      <x v="28"/>
    </i>
    <i r="1">
      <x v="29"/>
    </i>
    <i r="1">
      <x v="30"/>
    </i>
    <i r="1">
      <x v="31"/>
    </i>
    <i r="1">
      <x v="33"/>
    </i>
    <i r="1">
      <x v="34"/>
    </i>
    <i r="1">
      <x v="35"/>
    </i>
    <i r="1">
      <x v="36"/>
    </i>
    <i r="1">
      <x v="38"/>
    </i>
    <i r="1">
      <x v="39"/>
    </i>
    <i r="1">
      <x v="40"/>
    </i>
    <i r="1">
      <x v="42"/>
    </i>
    <i r="1">
      <x v="43"/>
    </i>
    <i r="1">
      <x v="44"/>
    </i>
    <i r="1">
      <x v="45"/>
    </i>
    <i r="1">
      <x v="46"/>
    </i>
    <i r="1">
      <x v="47"/>
    </i>
    <i r="1">
      <x v="48"/>
    </i>
    <i r="1">
      <x v="49"/>
    </i>
    <i r="1">
      <x v="50"/>
    </i>
    <i r="1">
      <x v="51"/>
    </i>
    <i r="1">
      <x v="52"/>
    </i>
    <i r="1">
      <x v="53"/>
    </i>
    <i r="1">
      <x v="54"/>
    </i>
    <i r="1">
      <x v="55"/>
    </i>
    <i r="1">
      <x v="56"/>
    </i>
    <i r="1">
      <x v="57"/>
    </i>
    <i r="1">
      <x v="58"/>
    </i>
    <i r="1">
      <x v="59"/>
    </i>
    <i r="1">
      <x v="60"/>
    </i>
    <i r="1">
      <x v="61"/>
    </i>
    <i r="1">
      <x v="62"/>
    </i>
    <i r="1">
      <x v="63"/>
    </i>
    <i r="1">
      <x v="64"/>
    </i>
    <i r="1">
      <x v="65"/>
    </i>
    <i r="1">
      <x v="66"/>
    </i>
    <i r="1">
      <x v="67"/>
    </i>
    <i r="1">
      <x v="68"/>
    </i>
    <i r="1">
      <x v="69"/>
    </i>
    <i r="1">
      <x v="70"/>
    </i>
    <i r="1">
      <x v="71"/>
    </i>
    <i r="1">
      <x v="72"/>
    </i>
    <i r="1">
      <x v="73"/>
    </i>
    <i r="1">
      <x v="74"/>
    </i>
    <i r="1">
      <x v="75"/>
    </i>
    <i r="1">
      <x v="76"/>
    </i>
    <i r="1">
      <x v="77"/>
    </i>
    <i r="1">
      <x v="78"/>
    </i>
    <i r="1">
      <x v="79"/>
    </i>
    <i r="1">
      <x v="80"/>
    </i>
    <i r="1">
      <x v="81"/>
    </i>
    <i r="1">
      <x v="82"/>
    </i>
    <i r="1">
      <x v="83"/>
    </i>
    <i r="1">
      <x v="84"/>
    </i>
    <i r="1">
      <x v="85"/>
    </i>
    <i r="1">
      <x v="86"/>
    </i>
    <i r="1">
      <x v="87"/>
    </i>
    <i r="1">
      <x v="88"/>
    </i>
    <i r="1">
      <x v="89"/>
    </i>
    <i r="1">
      <x v="91"/>
    </i>
    <i r="1">
      <x v="92"/>
    </i>
    <i r="1">
      <x v="93"/>
    </i>
    <i r="1">
      <x v="94"/>
    </i>
    <i r="1">
      <x v="95"/>
    </i>
    <i r="1">
      <x v="96"/>
    </i>
    <i r="1">
      <x v="97"/>
    </i>
    <i r="1">
      <x v="98"/>
    </i>
    <i r="1">
      <x v="99"/>
    </i>
    <i r="1">
      <x v="100"/>
    </i>
    <i r="1">
      <x v="101"/>
    </i>
    <i r="1">
      <x v="102"/>
    </i>
    <i r="1">
      <x v="103"/>
    </i>
    <i r="1">
      <x v="104"/>
    </i>
    <i r="1">
      <x v="105"/>
    </i>
    <i r="1">
      <x v="107"/>
    </i>
    <i r="1">
      <x v="108"/>
    </i>
    <i r="1">
      <x v="109"/>
    </i>
    <i r="1">
      <x v="111"/>
    </i>
    <i r="1">
      <x v="112"/>
    </i>
    <i r="1">
      <x v="114"/>
    </i>
    <i r="1">
      <x v="116"/>
    </i>
    <i r="1">
      <x v="117"/>
    </i>
    <i r="1">
      <x v="118"/>
    </i>
    <i r="1">
      <x v="120"/>
    </i>
    <i r="1">
      <x v="121"/>
    </i>
    <i r="1">
      <x v="122"/>
    </i>
    <i r="1">
      <x v="123"/>
    </i>
    <i r="1">
      <x v="128"/>
    </i>
    <i r="1">
      <x v="129"/>
    </i>
    <i r="1">
      <x v="130"/>
    </i>
    <i r="1">
      <x v="137"/>
    </i>
    <i r="1">
      <x v="149"/>
    </i>
    <i r="1">
      <x v="150"/>
    </i>
    <i r="1">
      <x v="153"/>
    </i>
    <i>
      <x v="1"/>
    </i>
    <i r="1">
      <x v="144"/>
    </i>
    <i r="1">
      <x v="153"/>
    </i>
    <i>
      <x v="2"/>
    </i>
    <i r="1">
      <x v="86"/>
    </i>
    <i r="1">
      <x v="106"/>
    </i>
    <i r="1">
      <x v="110"/>
    </i>
    <i r="1">
      <x v="115"/>
    </i>
    <i r="1">
      <x v="118"/>
    </i>
    <i r="1">
      <x v="119"/>
    </i>
    <i r="1">
      <x v="124"/>
    </i>
    <i r="1">
      <x v="127"/>
    </i>
    <i r="1">
      <x v="139"/>
    </i>
    <i r="1">
      <x v="142"/>
    </i>
    <i r="1">
      <x v="145"/>
    </i>
    <i r="1">
      <x v="146"/>
    </i>
    <i r="1">
      <x v="147"/>
    </i>
    <i r="1">
      <x v="148"/>
    </i>
    <i r="1">
      <x v="153"/>
    </i>
    <i>
      <x v="3"/>
    </i>
    <i r="1">
      <x v="41"/>
    </i>
    <i r="1">
      <x v="113"/>
    </i>
    <i r="1">
      <x v="125"/>
    </i>
    <i r="1">
      <x v="126"/>
    </i>
    <i r="1">
      <x v="131"/>
    </i>
    <i r="1">
      <x v="132"/>
    </i>
    <i r="1">
      <x v="133"/>
    </i>
    <i r="1">
      <x v="134"/>
    </i>
    <i r="1">
      <x v="135"/>
    </i>
    <i r="1">
      <x v="138"/>
    </i>
    <i r="1">
      <x v="140"/>
    </i>
    <i r="1">
      <x v="141"/>
    </i>
    <i r="1">
      <x v="143"/>
    </i>
    <i r="1">
      <x v="151"/>
    </i>
    <i r="1">
      <x v="152"/>
    </i>
    <i r="1">
      <x v="153"/>
    </i>
    <i>
      <x v="4"/>
    </i>
    <i r="1">
      <x v="153"/>
    </i>
    <i>
      <x v="5"/>
    </i>
    <i r="1">
      <x v="9"/>
    </i>
    <i r="1">
      <x v="14"/>
    </i>
    <i r="1">
      <x v="22"/>
    </i>
    <i r="1">
      <x v="32"/>
    </i>
    <i r="1">
      <x v="37"/>
    </i>
    <i r="1">
      <x v="90"/>
    </i>
    <i r="1">
      <x v="118"/>
    </i>
    <i r="1">
      <x v="129"/>
    </i>
    <i r="1">
      <x v="136"/>
    </i>
    <i r="1">
      <x v="153"/>
    </i>
    <i>
      <x v="6"/>
    </i>
    <i r="1">
      <x v="153"/>
    </i>
    <i t="grand">
      <x/>
    </i>
  </rowItems>
  <colItems count="1">
    <i/>
  </colItems>
  <pivotTableStyleInfo name="PivotStyleLight16" showRowHeaders="1" showColHeaders="1" showRowStripes="0" showColStripes="0" showLastColumn="1"/>
</pivotTableDefinition>
</file>

<file path=xl/pivotTables/pivotTable6.xml><?xml version="1.0" encoding="utf-8"?>
<pivotTableDefinition xmlns="http://schemas.openxmlformats.org/spreadsheetml/2006/main" name="PivotTable16"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C1:C46" firstHeaderRow="1" firstDataRow="1" firstDataCol="1"/>
  <pivotFields count="15">
    <pivotField axis="axisRow" showAll="0">
      <items count="8">
        <item n="1 Fomento Productivo" x="0"/>
        <item n="2 Institucionalidad" x="2"/>
        <item n="3 Medio Ambiente" x="3"/>
        <item n="4 Infraestructura" x="4"/>
        <item n="5 Innovación" x="1"/>
        <item n="6 Capacidades" x="6"/>
        <item x="5"/>
        <item t="default"/>
      </items>
    </pivotField>
    <pivotField showAll="0"/>
    <pivotField showAll="0"/>
    <pivotField showAll="0"/>
    <pivotField showAll="0"/>
    <pivotField showAll="0"/>
    <pivotField showAll="0"/>
    <pivotField showAll="0"/>
    <pivotField showAll="0"/>
    <pivotField showAll="0"/>
    <pivotField showAll="0"/>
    <pivotField axis="axisRow" showAll="0">
      <items count="31">
        <item x="22"/>
        <item x="21"/>
        <item x="12"/>
        <item x="1"/>
        <item x="15"/>
        <item x="5"/>
        <item x="26"/>
        <item x="2"/>
        <item x="16"/>
        <item x="11"/>
        <item x="13"/>
        <item x="25"/>
        <item x="4"/>
        <item x="24"/>
        <item x="10"/>
        <item x="20"/>
        <item x="17"/>
        <item x="14"/>
        <item x="23"/>
        <item x="6"/>
        <item x="19"/>
        <item x="9"/>
        <item x="18"/>
        <item x="29"/>
        <item x="8"/>
        <item x="7"/>
        <item x="27"/>
        <item x="28"/>
        <item x="3"/>
        <item x="0"/>
        <item t="default"/>
      </items>
    </pivotField>
    <pivotField showAll="0"/>
    <pivotField showAll="0"/>
    <pivotField showAll="0"/>
  </pivotFields>
  <rowFields count="2">
    <field x="0"/>
    <field x="11"/>
  </rowFields>
  <rowItems count="45">
    <i>
      <x/>
    </i>
    <i r="1">
      <x/>
    </i>
    <i r="1">
      <x v="1"/>
    </i>
    <i r="1">
      <x v="3"/>
    </i>
    <i r="1">
      <x v="6"/>
    </i>
    <i r="1">
      <x v="13"/>
    </i>
    <i r="1">
      <x v="15"/>
    </i>
    <i r="1">
      <x v="19"/>
    </i>
    <i r="1">
      <x v="23"/>
    </i>
    <i r="1">
      <x v="29"/>
    </i>
    <i>
      <x v="1"/>
    </i>
    <i r="1">
      <x v="7"/>
    </i>
    <i r="1">
      <x v="29"/>
    </i>
    <i>
      <x v="2"/>
    </i>
    <i r="1">
      <x v="11"/>
    </i>
    <i r="1">
      <x v="12"/>
    </i>
    <i r="1">
      <x v="28"/>
    </i>
    <i r="1">
      <x v="29"/>
    </i>
    <i>
      <x v="3"/>
    </i>
    <i r="1">
      <x v="2"/>
    </i>
    <i r="1">
      <x v="4"/>
    </i>
    <i r="1">
      <x v="5"/>
    </i>
    <i r="1">
      <x v="8"/>
    </i>
    <i r="1">
      <x v="9"/>
    </i>
    <i r="1">
      <x v="10"/>
    </i>
    <i r="1">
      <x v="14"/>
    </i>
    <i r="1">
      <x v="16"/>
    </i>
    <i r="1">
      <x v="17"/>
    </i>
    <i r="1">
      <x v="18"/>
    </i>
    <i r="1">
      <x v="19"/>
    </i>
    <i r="1">
      <x v="21"/>
    </i>
    <i r="1">
      <x v="24"/>
    </i>
    <i r="1">
      <x v="25"/>
    </i>
    <i r="1">
      <x v="26"/>
    </i>
    <i r="1">
      <x v="27"/>
    </i>
    <i r="1">
      <x v="29"/>
    </i>
    <i>
      <x v="4"/>
    </i>
    <i r="1">
      <x v="22"/>
    </i>
    <i r="1">
      <x v="29"/>
    </i>
    <i>
      <x v="5"/>
    </i>
    <i r="1">
      <x v="20"/>
    </i>
    <i r="1">
      <x v="29"/>
    </i>
    <i>
      <x v="6"/>
    </i>
    <i r="1">
      <x v="29"/>
    </i>
    <i t="grand">
      <x/>
    </i>
  </rowItems>
  <colItems count="1">
    <i/>
  </colItems>
  <formats count="6">
    <format dxfId="5">
      <pivotArea dataOnly="0" labelOnly="1" fieldPosition="0">
        <references count="2">
          <reference field="0" count="1" selected="0">
            <x v="0"/>
          </reference>
          <reference field="11" count="9">
            <x v="0"/>
            <x v="1"/>
            <x v="3"/>
            <x v="6"/>
            <x v="13"/>
            <x v="15"/>
            <x v="19"/>
            <x v="23"/>
            <x v="29"/>
          </reference>
        </references>
      </pivotArea>
    </format>
    <format dxfId="4">
      <pivotArea dataOnly="0" labelOnly="1" fieldPosition="0">
        <references count="2">
          <reference field="0" count="1" selected="0">
            <x v="1"/>
          </reference>
          <reference field="11" count="1">
            <x v="7"/>
          </reference>
        </references>
      </pivotArea>
    </format>
    <format dxfId="3">
      <pivotArea dataOnly="0" labelOnly="1" fieldPosition="0">
        <references count="2">
          <reference field="0" count="1" selected="0">
            <x v="2"/>
          </reference>
          <reference field="11" count="3">
            <x v="11"/>
            <x v="12"/>
            <x v="28"/>
          </reference>
        </references>
      </pivotArea>
    </format>
    <format dxfId="2">
      <pivotArea dataOnly="0" labelOnly="1" fieldPosition="0">
        <references count="2">
          <reference field="0" count="1" selected="0">
            <x v="3"/>
          </reference>
          <reference field="11" count="16">
            <x v="2"/>
            <x v="4"/>
            <x v="5"/>
            <x v="8"/>
            <x v="9"/>
            <x v="10"/>
            <x v="14"/>
            <x v="16"/>
            <x v="17"/>
            <x v="18"/>
            <x v="19"/>
            <x v="21"/>
            <x v="24"/>
            <x v="25"/>
            <x v="26"/>
            <x v="27"/>
          </reference>
        </references>
      </pivotArea>
    </format>
    <format dxfId="1">
      <pivotArea dataOnly="0" labelOnly="1" fieldPosition="0">
        <references count="2">
          <reference field="0" count="1" selected="0">
            <x v="4"/>
          </reference>
          <reference field="11" count="1">
            <x v="22"/>
          </reference>
        </references>
      </pivotArea>
    </format>
    <format dxfId="0">
      <pivotArea dataOnly="0" labelOnly="1" fieldPosition="0">
        <references count="2">
          <reference field="0" count="1" selected="0">
            <x v="5"/>
          </reference>
          <reference field="11" count="1">
            <x v="20"/>
          </reference>
        </references>
      </pivotArea>
    </format>
  </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2" Type="http://schemas.openxmlformats.org/officeDocument/2006/relationships/pivotTable" Target="../pivotTables/pivotTable6.xml"/><Relationship Id="rId1" Type="http://schemas.openxmlformats.org/officeDocument/2006/relationships/pivotTable" Target="../pivotTables/pivot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S254"/>
  <sheetViews>
    <sheetView tabSelected="1" zoomScale="85" zoomScaleNormal="85" workbookViewId="0">
      <pane ySplit="2" topLeftCell="A3" activePane="bottomLeft" state="frozen"/>
      <selection pane="bottomLeft"/>
    </sheetView>
  </sheetViews>
  <sheetFormatPr defaultColWidth="11.42578125" defaultRowHeight="15" x14ac:dyDescent="0.25"/>
  <cols>
    <col min="1" max="1" width="6.140625" style="3" bestFit="1" customWidth="1"/>
    <col min="2" max="2" width="14.42578125" style="3" customWidth="1"/>
    <col min="3" max="3" width="42.5703125" style="11" customWidth="1"/>
    <col min="4" max="4" width="46.28515625" style="11" customWidth="1"/>
    <col min="5" max="5" width="27.28515625" style="12" customWidth="1"/>
    <col min="6" max="6" width="17" style="12" customWidth="1"/>
    <col min="7" max="7" width="20.42578125" style="12" customWidth="1"/>
    <col min="8" max="8" width="23.7109375" style="12" customWidth="1"/>
    <col min="9" max="9" width="18" style="4" customWidth="1"/>
    <col min="10" max="10" width="19.85546875" style="4" customWidth="1"/>
    <col min="11" max="11" width="13" style="12" customWidth="1"/>
    <col min="12" max="12" width="19.5703125" style="3" customWidth="1"/>
    <col min="13" max="13" width="14.28515625" style="3" bestFit="1" customWidth="1"/>
    <col min="14" max="14" width="18.5703125" style="3" customWidth="1"/>
    <col min="15" max="15" width="14.28515625" style="3" customWidth="1"/>
    <col min="16" max="16" width="13.28515625" style="16" customWidth="1"/>
    <col min="17" max="17" width="13.140625" style="16" customWidth="1"/>
    <col min="18" max="18" width="17.140625" style="12" customWidth="1"/>
    <col min="19" max="19" width="26.140625" style="12" customWidth="1"/>
    <col min="20" max="20" width="46.140625" style="12" customWidth="1"/>
    <col min="21" max="21" width="42.42578125" style="12" customWidth="1"/>
    <col min="22" max="22" width="31.140625" style="12" customWidth="1"/>
    <col min="23" max="16384" width="11.42578125" style="3"/>
  </cols>
  <sheetData>
    <row r="1" spans="1:22" s="7" customFormat="1" ht="27" x14ac:dyDescent="0.25">
      <c r="C1" s="223" t="s">
        <v>0</v>
      </c>
      <c r="D1" s="227"/>
      <c r="E1" s="227"/>
      <c r="F1" s="227"/>
      <c r="G1" s="227"/>
      <c r="H1" s="227"/>
      <c r="I1" s="224"/>
      <c r="J1" s="223" t="s">
        <v>1</v>
      </c>
      <c r="K1" s="224"/>
      <c r="L1" s="223" t="s">
        <v>9</v>
      </c>
      <c r="M1" s="224"/>
      <c r="N1" s="223" t="s">
        <v>8</v>
      </c>
      <c r="O1" s="224"/>
      <c r="P1" s="223" t="s">
        <v>10</v>
      </c>
      <c r="Q1" s="224"/>
      <c r="R1" s="8" t="s">
        <v>13</v>
      </c>
      <c r="S1" s="35"/>
      <c r="T1" s="36"/>
      <c r="U1" s="35"/>
      <c r="V1" s="35"/>
    </row>
    <row r="2" spans="1:22" s="7" customFormat="1" ht="27" x14ac:dyDescent="0.25">
      <c r="A2" s="42" t="s">
        <v>454</v>
      </c>
      <c r="B2" s="42" t="s">
        <v>281</v>
      </c>
      <c r="C2" s="8" t="s">
        <v>2</v>
      </c>
      <c r="D2" s="13" t="s">
        <v>3</v>
      </c>
      <c r="E2" s="8" t="s">
        <v>4</v>
      </c>
      <c r="F2" s="8" t="s">
        <v>444</v>
      </c>
      <c r="G2" s="8" t="s">
        <v>445</v>
      </c>
      <c r="H2" s="8" t="s">
        <v>5</v>
      </c>
      <c r="I2" s="9" t="s">
        <v>6</v>
      </c>
      <c r="J2" s="9" t="s">
        <v>633</v>
      </c>
      <c r="K2" s="8" t="s">
        <v>7</v>
      </c>
      <c r="L2" s="8" t="s">
        <v>634</v>
      </c>
      <c r="M2" s="8" t="s">
        <v>7</v>
      </c>
      <c r="N2" s="8" t="s">
        <v>635</v>
      </c>
      <c r="O2" s="8" t="s">
        <v>7</v>
      </c>
      <c r="P2" s="14" t="s">
        <v>11</v>
      </c>
      <c r="Q2" s="14" t="s">
        <v>12</v>
      </c>
      <c r="R2" s="10" t="s">
        <v>14</v>
      </c>
      <c r="S2" s="35" t="s">
        <v>15</v>
      </c>
      <c r="T2" s="35" t="s">
        <v>16</v>
      </c>
      <c r="U2" s="33" t="s">
        <v>17</v>
      </c>
      <c r="V2" s="33" t="s">
        <v>18</v>
      </c>
    </row>
    <row r="3" spans="1:22" ht="43.15" customHeight="1" x14ac:dyDescent="0.25">
      <c r="A3" s="40">
        <v>1</v>
      </c>
      <c r="B3" s="1" t="s">
        <v>28</v>
      </c>
      <c r="C3" s="220" t="s">
        <v>20</v>
      </c>
      <c r="D3" s="220" t="s">
        <v>19</v>
      </c>
      <c r="E3" s="220" t="s">
        <v>566</v>
      </c>
      <c r="F3" s="25">
        <v>1</v>
      </c>
      <c r="G3" s="6">
        <f>$J$3*(8/15)</f>
        <v>657936</v>
      </c>
      <c r="H3" s="25" t="s">
        <v>21</v>
      </c>
      <c r="I3" s="6"/>
      <c r="J3" s="230">
        <v>1233630</v>
      </c>
      <c r="K3" s="220" t="s">
        <v>22</v>
      </c>
      <c r="L3" s="25"/>
      <c r="M3" s="25"/>
      <c r="N3" s="25"/>
      <c r="O3" s="25"/>
      <c r="P3" s="67" t="s">
        <v>23</v>
      </c>
      <c r="Q3" s="67" t="s">
        <v>24</v>
      </c>
      <c r="R3" s="25" t="s">
        <v>21</v>
      </c>
      <c r="S3" s="25" t="s">
        <v>25</v>
      </c>
      <c r="T3" s="25" t="s">
        <v>26</v>
      </c>
      <c r="U3" s="25" t="s">
        <v>27</v>
      </c>
      <c r="V3" s="52"/>
    </row>
    <row r="4" spans="1:22" ht="14.45" customHeight="1" x14ac:dyDescent="0.25">
      <c r="A4" s="40">
        <v>1</v>
      </c>
      <c r="B4" s="1" t="s">
        <v>28</v>
      </c>
      <c r="C4" s="220"/>
      <c r="D4" s="220"/>
      <c r="E4" s="220"/>
      <c r="F4" s="25">
        <v>3</v>
      </c>
      <c r="G4" s="6">
        <f>$J$3*(2/15)</f>
        <v>164484</v>
      </c>
      <c r="H4" s="25" t="s">
        <v>21</v>
      </c>
      <c r="I4" s="6"/>
      <c r="J4" s="231"/>
      <c r="K4" s="220"/>
      <c r="L4" s="25"/>
      <c r="M4" s="25"/>
      <c r="N4" s="25"/>
      <c r="O4" s="25"/>
      <c r="P4" s="67"/>
      <c r="Q4" s="67"/>
      <c r="R4" s="25"/>
      <c r="S4" s="25"/>
      <c r="T4" s="25"/>
      <c r="U4" s="25"/>
      <c r="V4" s="52"/>
    </row>
    <row r="5" spans="1:22" ht="14.45" customHeight="1" x14ac:dyDescent="0.25">
      <c r="A5" s="40">
        <v>1</v>
      </c>
      <c r="B5" s="1" t="s">
        <v>28</v>
      </c>
      <c r="C5" s="220"/>
      <c r="D5" s="220"/>
      <c r="E5" s="220"/>
      <c r="F5" s="25">
        <v>4</v>
      </c>
      <c r="G5" s="6">
        <f>$J$3*(3/15)</f>
        <v>246726</v>
      </c>
      <c r="H5" s="25" t="s">
        <v>21</v>
      </c>
      <c r="I5" s="6"/>
      <c r="J5" s="231"/>
      <c r="K5" s="220"/>
      <c r="L5" s="25"/>
      <c r="M5" s="25"/>
      <c r="N5" s="25"/>
      <c r="O5" s="25"/>
      <c r="P5" s="67"/>
      <c r="Q5" s="67"/>
      <c r="R5" s="25"/>
      <c r="S5" s="25"/>
      <c r="T5" s="25"/>
      <c r="U5" s="25"/>
      <c r="V5" s="52"/>
    </row>
    <row r="6" spans="1:22" ht="51.75" customHeight="1" x14ac:dyDescent="0.25">
      <c r="A6" s="40">
        <v>1</v>
      </c>
      <c r="B6" s="1" t="s">
        <v>28</v>
      </c>
      <c r="C6" s="220"/>
      <c r="D6" s="220"/>
      <c r="E6" s="220"/>
      <c r="F6" s="25">
        <v>5</v>
      </c>
      <c r="G6" s="6">
        <f>$J$3*(2/15)</f>
        <v>164484</v>
      </c>
      <c r="H6" s="25" t="s">
        <v>21</v>
      </c>
      <c r="I6" s="6"/>
      <c r="J6" s="232"/>
      <c r="K6" s="220"/>
      <c r="L6" s="25"/>
      <c r="M6" s="25"/>
      <c r="N6" s="25"/>
      <c r="O6" s="25"/>
      <c r="P6" s="67"/>
      <c r="Q6" s="67"/>
      <c r="R6" s="25"/>
      <c r="S6" s="25"/>
      <c r="T6" s="25"/>
      <c r="U6" s="25"/>
      <c r="V6" s="52"/>
    </row>
    <row r="7" spans="1:22" ht="90" x14ac:dyDescent="0.25">
      <c r="A7" s="40">
        <v>1</v>
      </c>
      <c r="B7" s="1" t="s">
        <v>28</v>
      </c>
      <c r="C7" s="2" t="s">
        <v>567</v>
      </c>
      <c r="D7" s="25" t="s">
        <v>29</v>
      </c>
      <c r="E7" s="2" t="s">
        <v>568</v>
      </c>
      <c r="F7" s="25">
        <v>5</v>
      </c>
      <c r="G7" s="68">
        <f>+J7</f>
        <v>2668488</v>
      </c>
      <c r="H7" s="25" t="s">
        <v>21</v>
      </c>
      <c r="I7" s="6"/>
      <c r="J7" s="6">
        <v>2668488</v>
      </c>
      <c r="K7" s="2" t="s">
        <v>608</v>
      </c>
      <c r="L7" s="69"/>
      <c r="M7" s="69"/>
      <c r="N7" s="69"/>
      <c r="O7" s="69"/>
      <c r="P7" s="67">
        <v>40575</v>
      </c>
      <c r="Q7" s="67">
        <v>42186</v>
      </c>
      <c r="R7" s="25" t="s">
        <v>30</v>
      </c>
      <c r="S7" s="25" t="s">
        <v>25</v>
      </c>
      <c r="T7" s="25" t="s">
        <v>31</v>
      </c>
      <c r="U7" s="25" t="s">
        <v>32</v>
      </c>
      <c r="V7" s="52"/>
    </row>
    <row r="8" spans="1:22" ht="60" x14ac:dyDescent="0.25">
      <c r="A8" s="40">
        <v>1</v>
      </c>
      <c r="B8" s="1" t="s">
        <v>33</v>
      </c>
      <c r="C8" s="25" t="s">
        <v>34</v>
      </c>
      <c r="D8" s="25" t="s">
        <v>35</v>
      </c>
      <c r="E8" s="25" t="s">
        <v>67</v>
      </c>
      <c r="F8" s="25">
        <v>4</v>
      </c>
      <c r="G8" s="68">
        <f>+J8</f>
        <v>101882</v>
      </c>
      <c r="H8" s="25" t="s">
        <v>36</v>
      </c>
      <c r="I8" s="6">
        <v>101882</v>
      </c>
      <c r="J8" s="6">
        <v>101882</v>
      </c>
      <c r="K8" s="2" t="s">
        <v>486</v>
      </c>
      <c r="L8" s="69"/>
      <c r="M8" s="69"/>
      <c r="N8" s="69"/>
      <c r="O8" s="69"/>
      <c r="P8" s="15" t="s">
        <v>221</v>
      </c>
      <c r="Q8" s="67"/>
      <c r="R8" s="25" t="s">
        <v>33</v>
      </c>
      <c r="S8" s="25" t="s">
        <v>37</v>
      </c>
      <c r="T8" s="25" t="s">
        <v>45</v>
      </c>
      <c r="U8" s="25" t="s">
        <v>39</v>
      </c>
      <c r="V8" s="52" t="s">
        <v>40</v>
      </c>
    </row>
    <row r="9" spans="1:22" ht="45.75" customHeight="1" x14ac:dyDescent="0.25">
      <c r="A9" s="40">
        <v>1</v>
      </c>
      <c r="B9" s="1" t="s">
        <v>33</v>
      </c>
      <c r="C9" s="2" t="s">
        <v>614</v>
      </c>
      <c r="D9" s="25" t="s">
        <v>41</v>
      </c>
      <c r="E9" s="25" t="s">
        <v>42</v>
      </c>
      <c r="F9" s="25">
        <v>1</v>
      </c>
      <c r="G9" s="68">
        <f>J9</f>
        <v>85000</v>
      </c>
      <c r="H9" s="25" t="s">
        <v>33</v>
      </c>
      <c r="I9" s="6">
        <v>85000</v>
      </c>
      <c r="J9" s="6">
        <v>85000</v>
      </c>
      <c r="K9" s="2" t="s">
        <v>613</v>
      </c>
      <c r="L9" s="69"/>
      <c r="M9" s="69"/>
      <c r="N9" s="69"/>
      <c r="O9" s="69"/>
      <c r="P9" s="67" t="s">
        <v>43</v>
      </c>
      <c r="Q9" s="67" t="s">
        <v>44</v>
      </c>
      <c r="R9" s="25" t="s">
        <v>33</v>
      </c>
      <c r="S9" s="25" t="s">
        <v>37</v>
      </c>
      <c r="T9" s="25" t="s">
        <v>38</v>
      </c>
      <c r="U9" s="25" t="s">
        <v>46</v>
      </c>
      <c r="V9" s="25"/>
    </row>
    <row r="10" spans="1:22" ht="120.75" customHeight="1" x14ac:dyDescent="0.25">
      <c r="A10" s="40">
        <v>1</v>
      </c>
      <c r="B10" s="1" t="s">
        <v>33</v>
      </c>
      <c r="C10" s="213" t="s">
        <v>47</v>
      </c>
      <c r="D10" s="213" t="s">
        <v>48</v>
      </c>
      <c r="E10" s="213" t="s">
        <v>49</v>
      </c>
      <c r="F10" s="116">
        <v>1</v>
      </c>
      <c r="G10" s="70">
        <f>(13/31)*$I$10</f>
        <v>670683</v>
      </c>
      <c r="H10" s="213" t="s">
        <v>33</v>
      </c>
      <c r="I10" s="210">
        <v>1599321</v>
      </c>
      <c r="J10" s="210">
        <v>1599321</v>
      </c>
      <c r="K10" s="25" t="s">
        <v>22</v>
      </c>
      <c r="L10" s="69"/>
      <c r="M10" s="69"/>
      <c r="N10" s="69"/>
      <c r="O10" s="69"/>
      <c r="P10" s="67" t="s">
        <v>50</v>
      </c>
      <c r="Q10" s="67" t="s">
        <v>51</v>
      </c>
      <c r="R10" s="25" t="s">
        <v>33</v>
      </c>
      <c r="S10" s="213" t="s">
        <v>37</v>
      </c>
      <c r="T10" s="213" t="s">
        <v>52</v>
      </c>
      <c r="U10" s="25" t="s">
        <v>53</v>
      </c>
      <c r="V10" s="25"/>
    </row>
    <row r="11" spans="1:22" ht="14.45" customHeight="1" x14ac:dyDescent="0.25">
      <c r="A11" s="40">
        <v>1</v>
      </c>
      <c r="B11" s="1" t="s">
        <v>33</v>
      </c>
      <c r="C11" s="214"/>
      <c r="D11" s="214"/>
      <c r="E11" s="214"/>
      <c r="F11" s="43">
        <v>3</v>
      </c>
      <c r="G11" s="70">
        <f>(7/31)*$I$10</f>
        <v>361137</v>
      </c>
      <c r="H11" s="214"/>
      <c r="I11" s="211"/>
      <c r="J11" s="211"/>
      <c r="K11" s="114" t="s">
        <v>22</v>
      </c>
      <c r="L11" s="69"/>
      <c r="M11" s="69"/>
      <c r="N11" s="69"/>
      <c r="O11" s="69"/>
      <c r="P11" s="67"/>
      <c r="Q11" s="67"/>
      <c r="R11" s="25"/>
      <c r="S11" s="214"/>
      <c r="T11" s="214"/>
      <c r="U11" s="25"/>
      <c r="V11" s="25"/>
    </row>
    <row r="12" spans="1:22" ht="14.45" customHeight="1" x14ac:dyDescent="0.25">
      <c r="A12" s="40">
        <v>1</v>
      </c>
      <c r="B12" s="1" t="s">
        <v>33</v>
      </c>
      <c r="C12" s="215"/>
      <c r="D12" s="215"/>
      <c r="E12" s="215"/>
      <c r="F12" s="43">
        <v>4</v>
      </c>
      <c r="G12" s="70">
        <f>(7/31)*$I$10</f>
        <v>361137</v>
      </c>
      <c r="H12" s="215"/>
      <c r="I12" s="212"/>
      <c r="J12" s="212"/>
      <c r="K12" s="114" t="s">
        <v>22</v>
      </c>
      <c r="L12" s="69"/>
      <c r="M12" s="69"/>
      <c r="N12" s="69"/>
      <c r="O12" s="69"/>
      <c r="P12" s="67"/>
      <c r="Q12" s="67"/>
      <c r="R12" s="25"/>
      <c r="S12" s="215"/>
      <c r="T12" s="215"/>
      <c r="U12" s="25"/>
      <c r="V12" s="25"/>
    </row>
    <row r="13" spans="1:22" ht="80.25" customHeight="1" x14ac:dyDescent="0.25">
      <c r="A13" s="40">
        <v>1</v>
      </c>
      <c r="B13" s="1" t="s">
        <v>33</v>
      </c>
      <c r="C13" s="25" t="s">
        <v>54</v>
      </c>
      <c r="D13" s="72" t="s">
        <v>55</v>
      </c>
      <c r="E13" s="25" t="s">
        <v>56</v>
      </c>
      <c r="F13" s="2" t="s">
        <v>606</v>
      </c>
      <c r="G13" s="25"/>
      <c r="H13" s="25" t="s">
        <v>33</v>
      </c>
      <c r="I13" s="6">
        <v>303898</v>
      </c>
      <c r="J13" s="6">
        <v>303898</v>
      </c>
      <c r="K13" s="25" t="s">
        <v>22</v>
      </c>
      <c r="L13" s="25"/>
      <c r="M13" s="25"/>
      <c r="N13" s="25"/>
      <c r="O13" s="25"/>
      <c r="P13" s="67" t="s">
        <v>50</v>
      </c>
      <c r="Q13" s="67" t="s">
        <v>57</v>
      </c>
      <c r="R13" s="25" t="s">
        <v>33</v>
      </c>
      <c r="S13" s="25" t="s">
        <v>37</v>
      </c>
      <c r="T13" s="25" t="s">
        <v>58</v>
      </c>
      <c r="U13" s="25" t="s">
        <v>59</v>
      </c>
      <c r="V13" s="25"/>
    </row>
    <row r="14" spans="1:22" ht="87" customHeight="1" x14ac:dyDescent="0.25">
      <c r="A14" s="40">
        <v>1</v>
      </c>
      <c r="B14" s="1" t="s">
        <v>33</v>
      </c>
      <c r="C14" s="25" t="s">
        <v>60</v>
      </c>
      <c r="D14" s="72" t="s">
        <v>61</v>
      </c>
      <c r="E14" s="25" t="s">
        <v>62</v>
      </c>
      <c r="F14" s="2" t="s">
        <v>606</v>
      </c>
      <c r="G14" s="25"/>
      <c r="H14" s="25" t="s">
        <v>33</v>
      </c>
      <c r="I14" s="6">
        <v>524295</v>
      </c>
      <c r="J14" s="6">
        <v>524295</v>
      </c>
      <c r="K14" s="25" t="s">
        <v>63</v>
      </c>
      <c r="L14" s="25"/>
      <c r="M14" s="25"/>
      <c r="N14" s="25"/>
      <c r="O14" s="25"/>
      <c r="P14" s="67" t="s">
        <v>50</v>
      </c>
      <c r="Q14" s="67" t="s">
        <v>57</v>
      </c>
      <c r="R14" s="25" t="s">
        <v>33</v>
      </c>
      <c r="S14" s="25" t="s">
        <v>37</v>
      </c>
      <c r="T14" s="25" t="s">
        <v>58</v>
      </c>
      <c r="U14" s="25" t="s">
        <v>59</v>
      </c>
      <c r="V14" s="25"/>
    </row>
    <row r="15" spans="1:22" ht="72" customHeight="1" x14ac:dyDescent="0.25">
      <c r="A15" s="40">
        <v>1</v>
      </c>
      <c r="B15" s="1" t="s">
        <v>33</v>
      </c>
      <c r="C15" s="25" t="s">
        <v>64</v>
      </c>
      <c r="D15" s="72" t="s">
        <v>65</v>
      </c>
      <c r="E15" s="25" t="s">
        <v>66</v>
      </c>
      <c r="F15" s="2" t="s">
        <v>605</v>
      </c>
      <c r="G15" s="25"/>
      <c r="H15" s="25" t="s">
        <v>33</v>
      </c>
      <c r="I15" s="6">
        <v>148115</v>
      </c>
      <c r="J15" s="6">
        <v>148115</v>
      </c>
      <c r="K15" s="25" t="s">
        <v>63</v>
      </c>
      <c r="L15" s="73"/>
      <c r="M15" s="73"/>
      <c r="N15" s="73"/>
      <c r="O15" s="73"/>
      <c r="P15" s="67" t="s">
        <v>50</v>
      </c>
      <c r="Q15" s="67" t="s">
        <v>57</v>
      </c>
      <c r="R15" s="25" t="s">
        <v>33</v>
      </c>
      <c r="S15" s="25" t="s">
        <v>37</v>
      </c>
      <c r="T15" s="25" t="s">
        <v>58</v>
      </c>
      <c r="U15" s="25" t="s">
        <v>59</v>
      </c>
      <c r="V15" s="25"/>
    </row>
    <row r="16" spans="1:22" ht="128.25" customHeight="1" x14ac:dyDescent="0.25">
      <c r="A16" s="40">
        <v>1</v>
      </c>
      <c r="B16" s="1" t="s">
        <v>33</v>
      </c>
      <c r="C16" s="25" t="s">
        <v>68</v>
      </c>
      <c r="D16" s="25" t="s">
        <v>69</v>
      </c>
      <c r="E16" s="25" t="s">
        <v>70</v>
      </c>
      <c r="F16" s="2" t="s">
        <v>590</v>
      </c>
      <c r="G16" s="25"/>
      <c r="H16" s="25" t="s">
        <v>33</v>
      </c>
      <c r="I16" s="6">
        <v>2206400</v>
      </c>
      <c r="J16" s="6">
        <v>2206400</v>
      </c>
      <c r="K16" s="25" t="s">
        <v>63</v>
      </c>
      <c r="L16" s="25"/>
      <c r="M16" s="25"/>
      <c r="N16" s="25"/>
      <c r="O16" s="25"/>
      <c r="P16" s="67" t="s">
        <v>71</v>
      </c>
      <c r="Q16" s="67">
        <v>2015</v>
      </c>
      <c r="R16" s="25" t="s">
        <v>33</v>
      </c>
      <c r="S16" s="25" t="s">
        <v>72</v>
      </c>
      <c r="T16" s="25" t="s">
        <v>73</v>
      </c>
      <c r="U16" s="25" t="s">
        <v>74</v>
      </c>
      <c r="V16" s="25"/>
    </row>
    <row r="17" spans="1:22" ht="59.45" customHeight="1" x14ac:dyDescent="0.25">
      <c r="A17" s="40">
        <v>1</v>
      </c>
      <c r="B17" s="1" t="s">
        <v>33</v>
      </c>
      <c r="C17" s="25" t="s">
        <v>75</v>
      </c>
      <c r="D17" s="25" t="s">
        <v>76</v>
      </c>
      <c r="E17" s="25" t="s">
        <v>77</v>
      </c>
      <c r="F17" s="25">
        <v>0</v>
      </c>
      <c r="G17" s="25"/>
      <c r="H17" s="25" t="s">
        <v>33</v>
      </c>
      <c r="I17" s="71">
        <v>1563541.46</v>
      </c>
      <c r="J17" s="71">
        <v>1563541.46</v>
      </c>
      <c r="K17" s="25" t="s">
        <v>78</v>
      </c>
      <c r="L17" s="25"/>
      <c r="M17" s="25"/>
      <c r="N17" s="25"/>
      <c r="O17" s="25"/>
      <c r="P17" s="67" t="s">
        <v>43</v>
      </c>
      <c r="Q17" s="67" t="s">
        <v>79</v>
      </c>
      <c r="R17" s="25" t="s">
        <v>33</v>
      </c>
      <c r="S17" s="25" t="s">
        <v>72</v>
      </c>
      <c r="T17" s="25" t="s">
        <v>80</v>
      </c>
      <c r="U17" s="25" t="s">
        <v>81</v>
      </c>
      <c r="V17" s="25"/>
    </row>
    <row r="18" spans="1:22" ht="28.9" customHeight="1" x14ac:dyDescent="0.25">
      <c r="A18" s="40">
        <v>1</v>
      </c>
      <c r="B18" s="44" t="s">
        <v>82</v>
      </c>
      <c r="C18" s="220" t="s">
        <v>83</v>
      </c>
      <c r="D18" s="225" t="s">
        <v>84</v>
      </c>
      <c r="E18" s="25" t="s">
        <v>85</v>
      </c>
      <c r="F18" s="226" t="s">
        <v>590</v>
      </c>
      <c r="G18" s="25"/>
      <c r="H18" s="220" t="s">
        <v>106</v>
      </c>
      <c r="I18" s="6">
        <v>1221339.1399999999</v>
      </c>
      <c r="J18" s="6">
        <f t="shared" ref="J18:J49" si="0">I18</f>
        <v>1221339.1399999999</v>
      </c>
      <c r="K18" s="125" t="s">
        <v>107</v>
      </c>
      <c r="L18" s="73"/>
      <c r="M18" s="73"/>
      <c r="N18" s="73"/>
      <c r="O18" s="73"/>
      <c r="P18" s="222" t="s">
        <v>108</v>
      </c>
      <c r="Q18" s="222" t="s">
        <v>109</v>
      </c>
      <c r="R18" s="220" t="s">
        <v>106</v>
      </c>
      <c r="S18" s="220" t="s">
        <v>110</v>
      </c>
      <c r="T18" s="220" t="s">
        <v>111</v>
      </c>
      <c r="U18" s="220"/>
      <c r="V18" s="220"/>
    </row>
    <row r="19" spans="1:22" ht="14.45" customHeight="1" x14ac:dyDescent="0.25">
      <c r="A19" s="40">
        <v>1</v>
      </c>
      <c r="B19" s="44" t="s">
        <v>82</v>
      </c>
      <c r="C19" s="220"/>
      <c r="D19" s="225"/>
      <c r="E19" s="25" t="s">
        <v>86</v>
      </c>
      <c r="F19" s="214"/>
      <c r="G19" s="25"/>
      <c r="H19" s="220"/>
      <c r="I19" s="6">
        <v>59471.77</v>
      </c>
      <c r="J19" s="6">
        <f t="shared" si="0"/>
        <v>59471.77</v>
      </c>
      <c r="K19" s="125" t="s">
        <v>107</v>
      </c>
      <c r="L19" s="26"/>
      <c r="M19" s="26"/>
      <c r="N19" s="26"/>
      <c r="O19" s="26"/>
      <c r="P19" s="222"/>
      <c r="Q19" s="222"/>
      <c r="R19" s="220"/>
      <c r="S19" s="220"/>
      <c r="T19" s="220"/>
      <c r="U19" s="220"/>
      <c r="V19" s="220"/>
    </row>
    <row r="20" spans="1:22" ht="14.45" customHeight="1" x14ac:dyDescent="0.25">
      <c r="A20" s="40">
        <v>1</v>
      </c>
      <c r="B20" s="44" t="s">
        <v>82</v>
      </c>
      <c r="C20" s="220"/>
      <c r="D20" s="225"/>
      <c r="E20" s="25" t="s">
        <v>87</v>
      </c>
      <c r="F20" s="214"/>
      <c r="G20" s="25"/>
      <c r="H20" s="220"/>
      <c r="I20" s="6">
        <v>30814.98</v>
      </c>
      <c r="J20" s="6">
        <f t="shared" si="0"/>
        <v>30814.98</v>
      </c>
      <c r="K20" s="125" t="s">
        <v>107</v>
      </c>
      <c r="L20" s="26"/>
      <c r="M20" s="26"/>
      <c r="N20" s="26"/>
      <c r="O20" s="26"/>
      <c r="P20" s="222"/>
      <c r="Q20" s="222"/>
      <c r="R20" s="220"/>
      <c r="S20" s="220"/>
      <c r="T20" s="220"/>
      <c r="U20" s="220"/>
      <c r="V20" s="220"/>
    </row>
    <row r="21" spans="1:22" ht="14.45" customHeight="1" x14ac:dyDescent="0.25">
      <c r="A21" s="40">
        <v>1</v>
      </c>
      <c r="B21" s="44" t="s">
        <v>82</v>
      </c>
      <c r="C21" s="220"/>
      <c r="D21" s="225"/>
      <c r="E21" s="25" t="s">
        <v>88</v>
      </c>
      <c r="F21" s="214"/>
      <c r="G21" s="25"/>
      <c r="H21" s="220"/>
      <c r="I21" s="6">
        <v>59471.77</v>
      </c>
      <c r="J21" s="6">
        <f t="shared" si="0"/>
        <v>59471.77</v>
      </c>
      <c r="K21" s="125" t="s">
        <v>107</v>
      </c>
      <c r="L21" s="26"/>
      <c r="M21" s="26"/>
      <c r="N21" s="26"/>
      <c r="O21" s="26"/>
      <c r="P21" s="222"/>
      <c r="Q21" s="222"/>
      <c r="R21" s="220"/>
      <c r="S21" s="220"/>
      <c r="T21" s="220"/>
      <c r="U21" s="220"/>
      <c r="V21" s="220"/>
    </row>
    <row r="22" spans="1:22" ht="14.45" customHeight="1" x14ac:dyDescent="0.25">
      <c r="A22" s="40">
        <v>1</v>
      </c>
      <c r="B22" s="44" t="s">
        <v>82</v>
      </c>
      <c r="C22" s="220"/>
      <c r="D22" s="225"/>
      <c r="E22" s="25" t="s">
        <v>89</v>
      </c>
      <c r="F22" s="214"/>
      <c r="G22" s="25"/>
      <c r="H22" s="220"/>
      <c r="I22" s="6">
        <v>59471.75</v>
      </c>
      <c r="J22" s="6">
        <f t="shared" si="0"/>
        <v>59471.75</v>
      </c>
      <c r="K22" s="125" t="s">
        <v>107</v>
      </c>
      <c r="L22" s="26"/>
      <c r="M22" s="26"/>
      <c r="N22" s="26"/>
      <c r="O22" s="26"/>
      <c r="P22" s="222"/>
      <c r="Q22" s="222"/>
      <c r="R22" s="220"/>
      <c r="S22" s="220"/>
      <c r="T22" s="220"/>
      <c r="U22" s="220"/>
      <c r="V22" s="220"/>
    </row>
    <row r="23" spans="1:22" ht="14.45" customHeight="1" x14ac:dyDescent="0.25">
      <c r="A23" s="40">
        <v>1</v>
      </c>
      <c r="B23" s="44" t="s">
        <v>82</v>
      </c>
      <c r="C23" s="220"/>
      <c r="D23" s="225"/>
      <c r="E23" s="25" t="s">
        <v>104</v>
      </c>
      <c r="F23" s="214"/>
      <c r="G23" s="25"/>
      <c r="H23" s="220"/>
      <c r="I23" s="6">
        <v>15727.64</v>
      </c>
      <c r="J23" s="6">
        <f t="shared" si="0"/>
        <v>15727.64</v>
      </c>
      <c r="K23" s="125" t="s">
        <v>107</v>
      </c>
      <c r="L23" s="26"/>
      <c r="M23" s="26"/>
      <c r="N23" s="26"/>
      <c r="O23" s="26"/>
      <c r="P23" s="222"/>
      <c r="Q23" s="222"/>
      <c r="R23" s="220"/>
      <c r="S23" s="220"/>
      <c r="T23" s="220"/>
      <c r="U23" s="220"/>
      <c r="V23" s="220"/>
    </row>
    <row r="24" spans="1:22" ht="14.45" customHeight="1" x14ac:dyDescent="0.25">
      <c r="A24" s="40">
        <v>1</v>
      </c>
      <c r="B24" s="44" t="s">
        <v>82</v>
      </c>
      <c r="C24" s="220"/>
      <c r="D24" s="225"/>
      <c r="E24" s="25" t="s">
        <v>90</v>
      </c>
      <c r="F24" s="214"/>
      <c r="G24" s="25"/>
      <c r="H24" s="220"/>
      <c r="I24" s="6">
        <v>102609.72</v>
      </c>
      <c r="J24" s="6">
        <f t="shared" si="0"/>
        <v>102609.72</v>
      </c>
      <c r="K24" s="125" t="s">
        <v>107</v>
      </c>
      <c r="L24" s="26"/>
      <c r="M24" s="26"/>
      <c r="N24" s="26"/>
      <c r="O24" s="26"/>
      <c r="P24" s="222"/>
      <c r="Q24" s="222"/>
      <c r="R24" s="220"/>
      <c r="S24" s="220"/>
      <c r="T24" s="220"/>
      <c r="U24" s="220"/>
      <c r="V24" s="220"/>
    </row>
    <row r="25" spans="1:22" ht="14.45" customHeight="1" x14ac:dyDescent="0.25">
      <c r="A25" s="40">
        <v>1</v>
      </c>
      <c r="B25" s="44" t="s">
        <v>82</v>
      </c>
      <c r="C25" s="220"/>
      <c r="D25" s="225"/>
      <c r="E25" s="25" t="s">
        <v>91</v>
      </c>
      <c r="F25" s="214"/>
      <c r="G25" s="25"/>
      <c r="H25" s="220"/>
      <c r="I25" s="6">
        <v>57706.46</v>
      </c>
      <c r="J25" s="6">
        <f t="shared" si="0"/>
        <v>57706.46</v>
      </c>
      <c r="K25" s="125" t="s">
        <v>107</v>
      </c>
      <c r="L25" s="26"/>
      <c r="M25" s="26"/>
      <c r="N25" s="26"/>
      <c r="O25" s="26"/>
      <c r="P25" s="222"/>
      <c r="Q25" s="222"/>
      <c r="R25" s="220"/>
      <c r="S25" s="220"/>
      <c r="T25" s="220"/>
      <c r="U25" s="220"/>
      <c r="V25" s="220"/>
    </row>
    <row r="26" spans="1:22" ht="14.45" customHeight="1" x14ac:dyDescent="0.25">
      <c r="A26" s="40">
        <v>1</v>
      </c>
      <c r="B26" s="44" t="s">
        <v>82</v>
      </c>
      <c r="C26" s="220"/>
      <c r="D26" s="225"/>
      <c r="E26" s="25" t="s">
        <v>92</v>
      </c>
      <c r="F26" s="214"/>
      <c r="G26" s="25"/>
      <c r="H26" s="220"/>
      <c r="I26" s="6">
        <v>59471.77</v>
      </c>
      <c r="J26" s="6">
        <f t="shared" si="0"/>
        <v>59471.77</v>
      </c>
      <c r="K26" s="125" t="s">
        <v>107</v>
      </c>
      <c r="L26" s="26"/>
      <c r="M26" s="26"/>
      <c r="N26" s="26"/>
      <c r="O26" s="26"/>
      <c r="P26" s="222"/>
      <c r="Q26" s="222"/>
      <c r="R26" s="220"/>
      <c r="S26" s="220"/>
      <c r="T26" s="220"/>
      <c r="U26" s="220"/>
      <c r="V26" s="220"/>
    </row>
    <row r="27" spans="1:22" ht="14.45" customHeight="1" x14ac:dyDescent="0.25">
      <c r="A27" s="40">
        <v>1</v>
      </c>
      <c r="B27" s="44" t="s">
        <v>82</v>
      </c>
      <c r="C27" s="220"/>
      <c r="D27" s="225"/>
      <c r="E27" s="52" t="s">
        <v>105</v>
      </c>
      <c r="F27" s="214"/>
      <c r="G27" s="52"/>
      <c r="H27" s="220"/>
      <c r="I27" s="6">
        <v>6362.92</v>
      </c>
      <c r="J27" s="6">
        <f t="shared" si="0"/>
        <v>6362.92</v>
      </c>
      <c r="K27" s="125" t="s">
        <v>107</v>
      </c>
      <c r="L27" s="26"/>
      <c r="M27" s="26"/>
      <c r="N27" s="26"/>
      <c r="O27" s="26"/>
      <c r="P27" s="222"/>
      <c r="Q27" s="222"/>
      <c r="R27" s="220"/>
      <c r="S27" s="220"/>
      <c r="T27" s="220"/>
      <c r="U27" s="220"/>
      <c r="V27" s="220"/>
    </row>
    <row r="28" spans="1:22" ht="28.9" customHeight="1" x14ac:dyDescent="0.25">
      <c r="A28" s="40">
        <v>1</v>
      </c>
      <c r="B28" s="44" t="s">
        <v>82</v>
      </c>
      <c r="C28" s="220"/>
      <c r="D28" s="225"/>
      <c r="E28" s="25" t="s">
        <v>93</v>
      </c>
      <c r="F28" s="214"/>
      <c r="G28" s="25"/>
      <c r="H28" s="220"/>
      <c r="I28" s="6">
        <v>6362.92</v>
      </c>
      <c r="J28" s="6">
        <f t="shared" si="0"/>
        <v>6362.92</v>
      </c>
      <c r="K28" s="125" t="s">
        <v>107</v>
      </c>
      <c r="L28" s="26"/>
      <c r="M28" s="26"/>
      <c r="N28" s="26"/>
      <c r="O28" s="26"/>
      <c r="P28" s="222"/>
      <c r="Q28" s="222"/>
      <c r="R28" s="220"/>
      <c r="S28" s="220"/>
      <c r="T28" s="220"/>
      <c r="U28" s="220"/>
      <c r="V28" s="220"/>
    </row>
    <row r="29" spans="1:22" ht="14.45" customHeight="1" x14ac:dyDescent="0.25">
      <c r="A29" s="40">
        <v>1</v>
      </c>
      <c r="B29" s="44" t="s">
        <v>82</v>
      </c>
      <c r="C29" s="220"/>
      <c r="D29" s="225"/>
      <c r="E29" s="25" t="s">
        <v>94</v>
      </c>
      <c r="F29" s="214"/>
      <c r="G29" s="25"/>
      <c r="H29" s="220"/>
      <c r="I29" s="6">
        <v>45902.400000000001</v>
      </c>
      <c r="J29" s="6">
        <f t="shared" si="0"/>
        <v>45902.400000000001</v>
      </c>
      <c r="K29" s="125" t="s">
        <v>107</v>
      </c>
      <c r="L29" s="26"/>
      <c r="M29" s="26"/>
      <c r="N29" s="26"/>
      <c r="O29" s="26"/>
      <c r="P29" s="222"/>
      <c r="Q29" s="222"/>
      <c r="R29" s="220"/>
      <c r="S29" s="220"/>
      <c r="T29" s="220"/>
      <c r="U29" s="220"/>
      <c r="V29" s="220"/>
    </row>
    <row r="30" spans="1:22" ht="14.45" customHeight="1" x14ac:dyDescent="0.25">
      <c r="A30" s="40">
        <v>1</v>
      </c>
      <c r="B30" s="44" t="s">
        <v>82</v>
      </c>
      <c r="C30" s="220"/>
      <c r="D30" s="225"/>
      <c r="E30" s="25" t="s">
        <v>95</v>
      </c>
      <c r="F30" s="214"/>
      <c r="G30" s="25"/>
      <c r="H30" s="220"/>
      <c r="I30" s="6">
        <v>15727.63</v>
      </c>
      <c r="J30" s="6">
        <f t="shared" si="0"/>
        <v>15727.63</v>
      </c>
      <c r="K30" s="125" t="s">
        <v>107</v>
      </c>
      <c r="L30" s="26"/>
      <c r="M30" s="26"/>
      <c r="N30" s="26"/>
      <c r="O30" s="26"/>
      <c r="P30" s="222"/>
      <c r="Q30" s="222"/>
      <c r="R30" s="220"/>
      <c r="S30" s="220"/>
      <c r="T30" s="220"/>
      <c r="U30" s="220"/>
      <c r="V30" s="220"/>
    </row>
    <row r="31" spans="1:22" ht="14.45" customHeight="1" x14ac:dyDescent="0.25">
      <c r="A31" s="40">
        <v>1</v>
      </c>
      <c r="B31" s="44" t="s">
        <v>82</v>
      </c>
      <c r="C31" s="220"/>
      <c r="D31" s="225"/>
      <c r="E31" s="25" t="s">
        <v>96</v>
      </c>
      <c r="F31" s="214"/>
      <c r="G31" s="25"/>
      <c r="H31" s="220"/>
      <c r="I31" s="6">
        <v>80597.09</v>
      </c>
      <c r="J31" s="6">
        <f t="shared" si="0"/>
        <v>80597.09</v>
      </c>
      <c r="K31" s="125" t="s">
        <v>107</v>
      </c>
      <c r="L31" s="26"/>
      <c r="M31" s="26"/>
      <c r="N31" s="26"/>
      <c r="O31" s="26"/>
      <c r="P31" s="222"/>
      <c r="Q31" s="222"/>
      <c r="R31" s="220"/>
      <c r="S31" s="220"/>
      <c r="T31" s="220"/>
      <c r="U31" s="220"/>
      <c r="V31" s="220"/>
    </row>
    <row r="32" spans="1:22" ht="14.45" customHeight="1" x14ac:dyDescent="0.25">
      <c r="A32" s="40">
        <v>1</v>
      </c>
      <c r="B32" s="44" t="s">
        <v>82</v>
      </c>
      <c r="C32" s="220"/>
      <c r="D32" s="225"/>
      <c r="E32" s="25" t="s">
        <v>97</v>
      </c>
      <c r="F32" s="214"/>
      <c r="G32" s="25"/>
      <c r="H32" s="220"/>
      <c r="I32" s="6">
        <v>27531.75</v>
      </c>
      <c r="J32" s="6">
        <f t="shared" si="0"/>
        <v>27531.75</v>
      </c>
      <c r="K32" s="125" t="s">
        <v>107</v>
      </c>
      <c r="L32" s="26"/>
      <c r="M32" s="26"/>
      <c r="N32" s="26"/>
      <c r="O32" s="26"/>
      <c r="P32" s="222"/>
      <c r="Q32" s="222"/>
      <c r="R32" s="220"/>
      <c r="S32" s="220"/>
      <c r="T32" s="220"/>
      <c r="U32" s="220"/>
      <c r="V32" s="220"/>
    </row>
    <row r="33" spans="1:22" ht="14.45" customHeight="1" x14ac:dyDescent="0.25">
      <c r="A33" s="40">
        <v>1</v>
      </c>
      <c r="B33" s="44" t="s">
        <v>82</v>
      </c>
      <c r="C33" s="220" t="s">
        <v>390</v>
      </c>
      <c r="D33" s="220" t="s">
        <v>112</v>
      </c>
      <c r="E33" s="25" t="s">
        <v>98</v>
      </c>
      <c r="F33" s="214"/>
      <c r="G33" s="25"/>
      <c r="H33" s="220" t="s">
        <v>106</v>
      </c>
      <c r="I33" s="6">
        <v>33612.1</v>
      </c>
      <c r="J33" s="6">
        <f t="shared" si="0"/>
        <v>33612.1</v>
      </c>
      <c r="K33" s="124" t="s">
        <v>281</v>
      </c>
      <c r="L33" s="74"/>
      <c r="M33" s="74"/>
      <c r="N33" s="74"/>
      <c r="O33" s="74"/>
      <c r="P33" s="222" t="s">
        <v>113</v>
      </c>
      <c r="Q33" s="222" t="s">
        <v>114</v>
      </c>
      <c r="R33" s="220" t="s">
        <v>106</v>
      </c>
      <c r="S33" s="220" t="s">
        <v>115</v>
      </c>
      <c r="T33" s="220" t="s">
        <v>117</v>
      </c>
      <c r="U33" s="220"/>
      <c r="V33" s="220" t="s">
        <v>116</v>
      </c>
    </row>
    <row r="34" spans="1:22" ht="14.45" customHeight="1" x14ac:dyDescent="0.25">
      <c r="A34" s="40">
        <v>1</v>
      </c>
      <c r="B34" s="44" t="s">
        <v>82</v>
      </c>
      <c r="C34" s="220"/>
      <c r="D34" s="220"/>
      <c r="E34" s="25" t="s">
        <v>99</v>
      </c>
      <c r="F34" s="214"/>
      <c r="G34" s="25"/>
      <c r="H34" s="220"/>
      <c r="I34" s="6">
        <v>15161.68</v>
      </c>
      <c r="J34" s="6">
        <f t="shared" si="0"/>
        <v>15161.68</v>
      </c>
      <c r="K34" s="124" t="s">
        <v>281</v>
      </c>
      <c r="L34" s="26"/>
      <c r="M34" s="26"/>
      <c r="N34" s="26"/>
      <c r="O34" s="26"/>
      <c r="P34" s="222"/>
      <c r="Q34" s="222"/>
      <c r="R34" s="220"/>
      <c r="S34" s="220"/>
      <c r="T34" s="220"/>
      <c r="U34" s="220"/>
      <c r="V34" s="220"/>
    </row>
    <row r="35" spans="1:22" ht="14.45" customHeight="1" x14ac:dyDescent="0.25">
      <c r="A35" s="40">
        <v>1</v>
      </c>
      <c r="B35" s="44" t="s">
        <v>82</v>
      </c>
      <c r="C35" s="220"/>
      <c r="D35" s="220"/>
      <c r="E35" s="25" t="s">
        <v>100</v>
      </c>
      <c r="F35" s="214"/>
      <c r="G35" s="25"/>
      <c r="H35" s="220"/>
      <c r="I35" s="6">
        <v>48773.760000000002</v>
      </c>
      <c r="J35" s="6">
        <f t="shared" si="0"/>
        <v>48773.760000000002</v>
      </c>
      <c r="K35" s="124" t="s">
        <v>281</v>
      </c>
      <c r="L35" s="26"/>
      <c r="M35" s="26"/>
      <c r="N35" s="26"/>
      <c r="O35" s="26"/>
      <c r="P35" s="222"/>
      <c r="Q35" s="222"/>
      <c r="R35" s="220"/>
      <c r="S35" s="220"/>
      <c r="T35" s="220"/>
      <c r="U35" s="220"/>
      <c r="V35" s="220"/>
    </row>
    <row r="36" spans="1:22" ht="14.45" customHeight="1" x14ac:dyDescent="0.25">
      <c r="A36" s="40">
        <v>1</v>
      </c>
      <c r="B36" s="44" t="s">
        <v>82</v>
      </c>
      <c r="C36" s="220"/>
      <c r="D36" s="220"/>
      <c r="E36" s="52" t="s">
        <v>101</v>
      </c>
      <c r="F36" s="214"/>
      <c r="G36" s="52"/>
      <c r="H36" s="220"/>
      <c r="I36" s="6">
        <v>7767.38</v>
      </c>
      <c r="J36" s="6">
        <f t="shared" si="0"/>
        <v>7767.38</v>
      </c>
      <c r="K36" s="124" t="s">
        <v>281</v>
      </c>
      <c r="L36" s="26"/>
      <c r="M36" s="26"/>
      <c r="N36" s="26"/>
      <c r="O36" s="26"/>
      <c r="P36" s="222"/>
      <c r="Q36" s="222"/>
      <c r="R36" s="220"/>
      <c r="S36" s="220"/>
      <c r="T36" s="220"/>
      <c r="U36" s="220"/>
      <c r="V36" s="220"/>
    </row>
    <row r="37" spans="1:22" ht="14.45" customHeight="1" x14ac:dyDescent="0.25">
      <c r="A37" s="40">
        <v>1</v>
      </c>
      <c r="B37" s="44" t="s">
        <v>82</v>
      </c>
      <c r="C37" s="220"/>
      <c r="D37" s="220"/>
      <c r="E37" s="52" t="s">
        <v>102</v>
      </c>
      <c r="F37" s="214"/>
      <c r="G37" s="52"/>
      <c r="H37" s="220"/>
      <c r="I37" s="6">
        <v>22929.07</v>
      </c>
      <c r="J37" s="6">
        <f t="shared" si="0"/>
        <v>22929.07</v>
      </c>
      <c r="K37" s="124" t="s">
        <v>281</v>
      </c>
      <c r="L37" s="26"/>
      <c r="M37" s="26"/>
      <c r="N37" s="26"/>
      <c r="O37" s="26"/>
      <c r="P37" s="222"/>
      <c r="Q37" s="222"/>
      <c r="R37" s="220"/>
      <c r="S37" s="220"/>
      <c r="T37" s="220"/>
      <c r="U37" s="220"/>
      <c r="V37" s="220"/>
    </row>
    <row r="38" spans="1:22" ht="14.45" customHeight="1" x14ac:dyDescent="0.25">
      <c r="A38" s="40">
        <v>1</v>
      </c>
      <c r="B38" s="44" t="s">
        <v>82</v>
      </c>
      <c r="C38" s="220"/>
      <c r="D38" s="220"/>
      <c r="E38" s="52" t="s">
        <v>103</v>
      </c>
      <c r="F38" s="214"/>
      <c r="G38" s="52"/>
      <c r="H38" s="220"/>
      <c r="I38" s="6">
        <v>1534.78</v>
      </c>
      <c r="J38" s="6">
        <f t="shared" si="0"/>
        <v>1534.78</v>
      </c>
      <c r="K38" s="124" t="s">
        <v>281</v>
      </c>
      <c r="L38" s="26"/>
      <c r="M38" s="26"/>
      <c r="N38" s="26"/>
      <c r="O38" s="26"/>
      <c r="P38" s="222"/>
      <c r="Q38" s="222"/>
      <c r="R38" s="220"/>
      <c r="S38" s="220"/>
      <c r="T38" s="220"/>
      <c r="U38" s="220"/>
      <c r="V38" s="220"/>
    </row>
    <row r="39" spans="1:22" ht="14.45" customHeight="1" x14ac:dyDescent="0.25">
      <c r="A39" s="40">
        <v>1</v>
      </c>
      <c r="B39" s="44" t="s">
        <v>82</v>
      </c>
      <c r="C39" s="220"/>
      <c r="D39" s="220"/>
      <c r="E39" s="25" t="s">
        <v>118</v>
      </c>
      <c r="F39" s="214"/>
      <c r="G39" s="25"/>
      <c r="H39" s="220"/>
      <c r="I39" s="6">
        <v>22929.07</v>
      </c>
      <c r="J39" s="6">
        <f t="shared" si="0"/>
        <v>22929.07</v>
      </c>
      <c r="K39" s="124" t="s">
        <v>281</v>
      </c>
      <c r="L39" s="26"/>
      <c r="M39" s="26"/>
      <c r="N39" s="26"/>
      <c r="O39" s="26"/>
      <c r="P39" s="222"/>
      <c r="Q39" s="222"/>
      <c r="R39" s="220"/>
      <c r="S39" s="220"/>
      <c r="T39" s="220"/>
      <c r="U39" s="220"/>
      <c r="V39" s="220"/>
    </row>
    <row r="40" spans="1:22" ht="14.45" customHeight="1" x14ac:dyDescent="0.25">
      <c r="A40" s="40">
        <v>1</v>
      </c>
      <c r="B40" s="44" t="s">
        <v>82</v>
      </c>
      <c r="C40" s="220" t="s">
        <v>179</v>
      </c>
      <c r="D40" s="220" t="s">
        <v>180</v>
      </c>
      <c r="E40" s="25" t="s">
        <v>119</v>
      </c>
      <c r="F40" s="214"/>
      <c r="G40" s="25"/>
      <c r="H40" s="220" t="s">
        <v>106</v>
      </c>
      <c r="I40" s="6">
        <v>18390</v>
      </c>
      <c r="J40" s="6">
        <f t="shared" si="0"/>
        <v>18390</v>
      </c>
      <c r="K40" s="124" t="s">
        <v>281</v>
      </c>
      <c r="L40" s="26"/>
      <c r="M40" s="26"/>
      <c r="N40" s="26"/>
      <c r="O40" s="26"/>
      <c r="P40" s="222" t="s">
        <v>181</v>
      </c>
      <c r="Q40" s="222" t="s">
        <v>182</v>
      </c>
      <c r="R40" s="222" t="s">
        <v>106</v>
      </c>
      <c r="S40" s="222" t="s">
        <v>115</v>
      </c>
      <c r="T40" s="222" t="s">
        <v>183</v>
      </c>
      <c r="U40" s="138"/>
      <c r="V40" s="220" t="s">
        <v>184</v>
      </c>
    </row>
    <row r="41" spans="1:22" ht="14.45" customHeight="1" x14ac:dyDescent="0.25">
      <c r="A41" s="40">
        <v>1</v>
      </c>
      <c r="B41" s="44" t="s">
        <v>82</v>
      </c>
      <c r="C41" s="220"/>
      <c r="D41" s="220"/>
      <c r="E41" s="25" t="s">
        <v>120</v>
      </c>
      <c r="F41" s="214"/>
      <c r="G41" s="25"/>
      <c r="H41" s="220"/>
      <c r="I41" s="6">
        <v>297870</v>
      </c>
      <c r="J41" s="6">
        <f t="shared" si="0"/>
        <v>297870</v>
      </c>
      <c r="K41" s="124" t="s">
        <v>281</v>
      </c>
      <c r="L41" s="26"/>
      <c r="M41" s="26"/>
      <c r="N41" s="26"/>
      <c r="O41" s="26"/>
      <c r="P41" s="222"/>
      <c r="Q41" s="222"/>
      <c r="R41" s="222"/>
      <c r="S41" s="222"/>
      <c r="T41" s="222"/>
      <c r="U41" s="138"/>
      <c r="V41" s="220"/>
    </row>
    <row r="42" spans="1:22" ht="14.45" customHeight="1" x14ac:dyDescent="0.25">
      <c r="A42" s="40">
        <v>1</v>
      </c>
      <c r="B42" s="44" t="s">
        <v>82</v>
      </c>
      <c r="C42" s="220"/>
      <c r="D42" s="220"/>
      <c r="E42" s="25" t="s">
        <v>121</v>
      </c>
      <c r="F42" s="214"/>
      <c r="G42" s="25"/>
      <c r="H42" s="220"/>
      <c r="I42" s="6">
        <v>303810</v>
      </c>
      <c r="J42" s="6">
        <f t="shared" si="0"/>
        <v>303810</v>
      </c>
      <c r="K42" s="124" t="s">
        <v>281</v>
      </c>
      <c r="L42" s="26"/>
      <c r="M42" s="26"/>
      <c r="N42" s="26"/>
      <c r="O42" s="26"/>
      <c r="P42" s="222"/>
      <c r="Q42" s="222"/>
      <c r="R42" s="222"/>
      <c r="S42" s="222"/>
      <c r="T42" s="222"/>
      <c r="U42" s="138"/>
      <c r="V42" s="220"/>
    </row>
    <row r="43" spans="1:22" ht="14.45" customHeight="1" x14ac:dyDescent="0.25">
      <c r="A43" s="40">
        <v>1</v>
      </c>
      <c r="B43" s="44" t="s">
        <v>82</v>
      </c>
      <c r="C43" s="220"/>
      <c r="D43" s="220"/>
      <c r="E43" s="25" t="s">
        <v>122</v>
      </c>
      <c r="F43" s="214"/>
      <c r="G43" s="25"/>
      <c r="H43" s="220"/>
      <c r="I43" s="6">
        <v>418950</v>
      </c>
      <c r="J43" s="6">
        <f t="shared" si="0"/>
        <v>418950</v>
      </c>
      <c r="K43" s="124" t="s">
        <v>281</v>
      </c>
      <c r="L43" s="26"/>
      <c r="M43" s="26"/>
      <c r="N43" s="26"/>
      <c r="O43" s="26"/>
      <c r="P43" s="222"/>
      <c r="Q43" s="222"/>
      <c r="R43" s="222"/>
      <c r="S43" s="222"/>
      <c r="T43" s="222"/>
      <c r="U43" s="138"/>
      <c r="V43" s="220"/>
    </row>
    <row r="44" spans="1:22" ht="14.45" customHeight="1" x14ac:dyDescent="0.25">
      <c r="A44" s="40">
        <v>1</v>
      </c>
      <c r="B44" s="44" t="s">
        <v>82</v>
      </c>
      <c r="C44" s="220"/>
      <c r="D44" s="220"/>
      <c r="E44" s="25" t="s">
        <v>123</v>
      </c>
      <c r="F44" s="214"/>
      <c r="G44" s="25"/>
      <c r="H44" s="220"/>
      <c r="I44" s="6">
        <v>104010</v>
      </c>
      <c r="J44" s="6">
        <f t="shared" si="0"/>
        <v>104010</v>
      </c>
      <c r="K44" s="124" t="s">
        <v>281</v>
      </c>
      <c r="L44" s="26"/>
      <c r="M44" s="26"/>
      <c r="N44" s="26"/>
      <c r="O44" s="26"/>
      <c r="P44" s="222"/>
      <c r="Q44" s="222"/>
      <c r="R44" s="222"/>
      <c r="S44" s="222"/>
      <c r="T44" s="222"/>
      <c r="U44" s="138"/>
      <c r="V44" s="220"/>
    </row>
    <row r="45" spans="1:22" ht="14.45" customHeight="1" x14ac:dyDescent="0.25">
      <c r="A45" s="40">
        <v>1</v>
      </c>
      <c r="B45" s="44" t="s">
        <v>82</v>
      </c>
      <c r="C45" s="220"/>
      <c r="D45" s="220"/>
      <c r="E45" s="25" t="s">
        <v>124</v>
      </c>
      <c r="F45" s="214"/>
      <c r="G45" s="25"/>
      <c r="H45" s="220"/>
      <c r="I45" s="6">
        <v>84390</v>
      </c>
      <c r="J45" s="6">
        <f t="shared" si="0"/>
        <v>84390</v>
      </c>
      <c r="K45" s="124" t="s">
        <v>281</v>
      </c>
      <c r="L45" s="26"/>
      <c r="M45" s="26"/>
      <c r="N45" s="26"/>
      <c r="O45" s="26"/>
      <c r="P45" s="222"/>
      <c r="Q45" s="222"/>
      <c r="R45" s="222"/>
      <c r="S45" s="222"/>
      <c r="T45" s="222"/>
      <c r="U45" s="138"/>
      <c r="V45" s="220"/>
    </row>
    <row r="46" spans="1:22" ht="14.45" customHeight="1" x14ac:dyDescent="0.25">
      <c r="A46" s="40">
        <v>1</v>
      </c>
      <c r="B46" s="44" t="s">
        <v>82</v>
      </c>
      <c r="C46" s="220"/>
      <c r="D46" s="220"/>
      <c r="E46" s="25" t="s">
        <v>125</v>
      </c>
      <c r="F46" s="214"/>
      <c r="G46" s="25"/>
      <c r="H46" s="220"/>
      <c r="I46" s="6">
        <v>103170</v>
      </c>
      <c r="J46" s="6">
        <f t="shared" si="0"/>
        <v>103170</v>
      </c>
      <c r="K46" s="124" t="s">
        <v>281</v>
      </c>
      <c r="L46" s="26"/>
      <c r="M46" s="26"/>
      <c r="N46" s="26"/>
      <c r="O46" s="26"/>
      <c r="P46" s="222"/>
      <c r="Q46" s="222"/>
      <c r="R46" s="222"/>
      <c r="S46" s="222"/>
      <c r="T46" s="222"/>
      <c r="U46" s="138"/>
      <c r="V46" s="220"/>
    </row>
    <row r="47" spans="1:22" ht="14.45" customHeight="1" x14ac:dyDescent="0.25">
      <c r="A47" s="40">
        <v>1</v>
      </c>
      <c r="B47" s="44" t="s">
        <v>82</v>
      </c>
      <c r="C47" s="220"/>
      <c r="D47" s="220"/>
      <c r="E47" s="25" t="s">
        <v>126</v>
      </c>
      <c r="F47" s="214"/>
      <c r="G47" s="25"/>
      <c r="H47" s="220"/>
      <c r="I47" s="6">
        <v>148650</v>
      </c>
      <c r="J47" s="6">
        <f t="shared" si="0"/>
        <v>148650</v>
      </c>
      <c r="K47" s="124" t="s">
        <v>281</v>
      </c>
      <c r="L47" s="26"/>
      <c r="M47" s="26"/>
      <c r="N47" s="26"/>
      <c r="O47" s="26"/>
      <c r="P47" s="222"/>
      <c r="Q47" s="222"/>
      <c r="R47" s="222"/>
      <c r="S47" s="222"/>
      <c r="T47" s="222"/>
      <c r="U47" s="138"/>
      <c r="V47" s="220"/>
    </row>
    <row r="48" spans="1:22" ht="14.45" customHeight="1" x14ac:dyDescent="0.25">
      <c r="A48" s="40">
        <v>1</v>
      </c>
      <c r="B48" s="44" t="s">
        <v>82</v>
      </c>
      <c r="C48" s="220"/>
      <c r="D48" s="220"/>
      <c r="E48" s="25" t="s">
        <v>127</v>
      </c>
      <c r="F48" s="214"/>
      <c r="G48" s="25"/>
      <c r="H48" s="220"/>
      <c r="I48" s="6">
        <v>124980</v>
      </c>
      <c r="J48" s="6">
        <f t="shared" si="0"/>
        <v>124980</v>
      </c>
      <c r="K48" s="124" t="s">
        <v>281</v>
      </c>
      <c r="L48" s="26"/>
      <c r="M48" s="26"/>
      <c r="N48" s="26"/>
      <c r="O48" s="26"/>
      <c r="P48" s="222"/>
      <c r="Q48" s="222"/>
      <c r="R48" s="222"/>
      <c r="S48" s="222"/>
      <c r="T48" s="222"/>
      <c r="U48" s="138"/>
      <c r="V48" s="220"/>
    </row>
    <row r="49" spans="1:22" ht="14.45" customHeight="1" x14ac:dyDescent="0.25">
      <c r="A49" s="40">
        <v>1</v>
      </c>
      <c r="B49" s="44" t="s">
        <v>82</v>
      </c>
      <c r="C49" s="220"/>
      <c r="D49" s="220"/>
      <c r="E49" s="25" t="s">
        <v>128</v>
      </c>
      <c r="F49" s="214"/>
      <c r="G49" s="25"/>
      <c r="H49" s="220"/>
      <c r="I49" s="6">
        <v>243570</v>
      </c>
      <c r="J49" s="6">
        <f t="shared" si="0"/>
        <v>243570</v>
      </c>
      <c r="K49" s="124" t="s">
        <v>281</v>
      </c>
      <c r="L49" s="26"/>
      <c r="M49" s="26"/>
      <c r="N49" s="26"/>
      <c r="O49" s="26"/>
      <c r="P49" s="222"/>
      <c r="Q49" s="222"/>
      <c r="R49" s="222"/>
      <c r="S49" s="222"/>
      <c r="T49" s="222"/>
      <c r="U49" s="138"/>
      <c r="V49" s="220"/>
    </row>
    <row r="50" spans="1:22" ht="14.45" customHeight="1" x14ac:dyDescent="0.25">
      <c r="A50" s="40">
        <v>1</v>
      </c>
      <c r="B50" s="44" t="s">
        <v>82</v>
      </c>
      <c r="C50" s="220"/>
      <c r="D50" s="220"/>
      <c r="E50" s="25" t="s">
        <v>129</v>
      </c>
      <c r="F50" s="214"/>
      <c r="G50" s="25"/>
      <c r="H50" s="220"/>
      <c r="I50" s="6">
        <v>85800</v>
      </c>
      <c r="J50" s="6">
        <f t="shared" ref="J50:J81" si="1">I50</f>
        <v>85800</v>
      </c>
      <c r="K50" s="124" t="s">
        <v>281</v>
      </c>
      <c r="L50" s="26"/>
      <c r="M50" s="26"/>
      <c r="N50" s="26"/>
      <c r="O50" s="26"/>
      <c r="P50" s="222"/>
      <c r="Q50" s="222"/>
      <c r="R50" s="222"/>
      <c r="S50" s="222"/>
      <c r="T50" s="222"/>
      <c r="U50" s="138"/>
      <c r="V50" s="220"/>
    </row>
    <row r="51" spans="1:22" ht="14.45" customHeight="1" x14ac:dyDescent="0.25">
      <c r="A51" s="40">
        <v>1</v>
      </c>
      <c r="B51" s="44" t="s">
        <v>82</v>
      </c>
      <c r="C51" s="220"/>
      <c r="D51" s="220"/>
      <c r="E51" s="25" t="s">
        <v>130</v>
      </c>
      <c r="F51" s="214"/>
      <c r="G51" s="25"/>
      <c r="H51" s="220"/>
      <c r="I51" s="6">
        <v>141510</v>
      </c>
      <c r="J51" s="6">
        <f t="shared" si="1"/>
        <v>141510</v>
      </c>
      <c r="K51" s="124" t="s">
        <v>281</v>
      </c>
      <c r="L51" s="26"/>
      <c r="M51" s="26"/>
      <c r="N51" s="26"/>
      <c r="O51" s="26"/>
      <c r="P51" s="222"/>
      <c r="Q51" s="222"/>
      <c r="R51" s="222"/>
      <c r="S51" s="222"/>
      <c r="T51" s="222"/>
      <c r="U51" s="138"/>
      <c r="V51" s="220"/>
    </row>
    <row r="52" spans="1:22" ht="14.45" customHeight="1" x14ac:dyDescent="0.25">
      <c r="A52" s="40">
        <v>1</v>
      </c>
      <c r="B52" s="44" t="s">
        <v>82</v>
      </c>
      <c r="C52" s="220"/>
      <c r="D52" s="220"/>
      <c r="E52" s="25" t="s">
        <v>131</v>
      </c>
      <c r="F52" s="214"/>
      <c r="G52" s="25"/>
      <c r="H52" s="220"/>
      <c r="I52" s="6">
        <v>146250</v>
      </c>
      <c r="J52" s="6">
        <f t="shared" si="1"/>
        <v>146250</v>
      </c>
      <c r="K52" s="124" t="s">
        <v>281</v>
      </c>
      <c r="L52" s="26"/>
      <c r="M52" s="26"/>
      <c r="N52" s="26"/>
      <c r="O52" s="26"/>
      <c r="P52" s="222"/>
      <c r="Q52" s="222"/>
      <c r="R52" s="222"/>
      <c r="S52" s="222"/>
      <c r="T52" s="222"/>
      <c r="U52" s="138"/>
      <c r="V52" s="220"/>
    </row>
    <row r="53" spans="1:22" ht="14.45" customHeight="1" x14ac:dyDescent="0.25">
      <c r="A53" s="40">
        <v>1</v>
      </c>
      <c r="B53" s="44" t="s">
        <v>82</v>
      </c>
      <c r="C53" s="220"/>
      <c r="D53" s="220"/>
      <c r="E53" s="25" t="s">
        <v>132</v>
      </c>
      <c r="F53" s="214"/>
      <c r="G53" s="25"/>
      <c r="H53" s="220"/>
      <c r="I53" s="6">
        <v>83730</v>
      </c>
      <c r="J53" s="6">
        <f t="shared" si="1"/>
        <v>83730</v>
      </c>
      <c r="K53" s="124" t="s">
        <v>281</v>
      </c>
      <c r="L53" s="26"/>
      <c r="M53" s="26"/>
      <c r="N53" s="26"/>
      <c r="O53" s="26"/>
      <c r="P53" s="222"/>
      <c r="Q53" s="222"/>
      <c r="R53" s="222"/>
      <c r="S53" s="222"/>
      <c r="T53" s="222"/>
      <c r="U53" s="138"/>
      <c r="V53" s="220"/>
    </row>
    <row r="54" spans="1:22" ht="14.45" customHeight="1" x14ac:dyDescent="0.25">
      <c r="A54" s="40">
        <v>1</v>
      </c>
      <c r="B54" s="44" t="s">
        <v>82</v>
      </c>
      <c r="C54" s="220"/>
      <c r="D54" s="220"/>
      <c r="E54" s="25" t="s">
        <v>86</v>
      </c>
      <c r="F54" s="214"/>
      <c r="G54" s="25"/>
      <c r="H54" s="220"/>
      <c r="I54" s="6">
        <v>47010</v>
      </c>
      <c r="J54" s="6">
        <f t="shared" si="1"/>
        <v>47010</v>
      </c>
      <c r="K54" s="124" t="s">
        <v>281</v>
      </c>
      <c r="L54" s="26"/>
      <c r="M54" s="26"/>
      <c r="N54" s="26"/>
      <c r="O54" s="26"/>
      <c r="P54" s="222"/>
      <c r="Q54" s="222"/>
      <c r="R54" s="222"/>
      <c r="S54" s="222"/>
      <c r="T54" s="222"/>
      <c r="U54" s="138"/>
      <c r="V54" s="220"/>
    </row>
    <row r="55" spans="1:22" ht="14.45" customHeight="1" x14ac:dyDescent="0.25">
      <c r="A55" s="40">
        <v>1</v>
      </c>
      <c r="B55" s="44" t="s">
        <v>82</v>
      </c>
      <c r="C55" s="220"/>
      <c r="D55" s="220"/>
      <c r="E55" s="25" t="s">
        <v>133</v>
      </c>
      <c r="F55" s="214"/>
      <c r="G55" s="25"/>
      <c r="H55" s="220"/>
      <c r="I55" s="6">
        <v>100620</v>
      </c>
      <c r="J55" s="6">
        <f t="shared" si="1"/>
        <v>100620</v>
      </c>
      <c r="K55" s="124" t="s">
        <v>281</v>
      </c>
      <c r="L55" s="26"/>
      <c r="M55" s="26"/>
      <c r="N55" s="26"/>
      <c r="O55" s="26"/>
      <c r="P55" s="222"/>
      <c r="Q55" s="222"/>
      <c r="R55" s="222"/>
      <c r="S55" s="222"/>
      <c r="T55" s="222"/>
      <c r="U55" s="138"/>
      <c r="V55" s="220"/>
    </row>
    <row r="56" spans="1:22" ht="14.45" customHeight="1" x14ac:dyDescent="0.25">
      <c r="A56" s="40">
        <v>1</v>
      </c>
      <c r="B56" s="44" t="s">
        <v>82</v>
      </c>
      <c r="C56" s="220"/>
      <c r="D56" s="220"/>
      <c r="E56" s="25" t="s">
        <v>134</v>
      </c>
      <c r="F56" s="214"/>
      <c r="G56" s="25"/>
      <c r="H56" s="220"/>
      <c r="I56" s="6">
        <v>37950</v>
      </c>
      <c r="J56" s="6">
        <f t="shared" si="1"/>
        <v>37950</v>
      </c>
      <c r="K56" s="124" t="s">
        <v>281</v>
      </c>
      <c r="L56" s="26"/>
      <c r="M56" s="26"/>
      <c r="N56" s="26"/>
      <c r="O56" s="26"/>
      <c r="P56" s="222"/>
      <c r="Q56" s="222"/>
      <c r="R56" s="222"/>
      <c r="S56" s="222"/>
      <c r="T56" s="222"/>
      <c r="U56" s="138"/>
      <c r="V56" s="220"/>
    </row>
    <row r="57" spans="1:22" ht="14.45" customHeight="1" x14ac:dyDescent="0.25">
      <c r="A57" s="40">
        <v>1</v>
      </c>
      <c r="B57" s="44" t="s">
        <v>82</v>
      </c>
      <c r="C57" s="220"/>
      <c r="D57" s="220"/>
      <c r="E57" s="25" t="s">
        <v>122</v>
      </c>
      <c r="F57" s="214"/>
      <c r="G57" s="25"/>
      <c r="H57" s="220"/>
      <c r="I57" s="6">
        <v>24060</v>
      </c>
      <c r="J57" s="6">
        <f t="shared" si="1"/>
        <v>24060</v>
      </c>
      <c r="K57" s="124" t="s">
        <v>281</v>
      </c>
      <c r="L57" s="26"/>
      <c r="M57" s="26"/>
      <c r="N57" s="26"/>
      <c r="O57" s="26"/>
      <c r="P57" s="222"/>
      <c r="Q57" s="222"/>
      <c r="R57" s="222"/>
      <c r="S57" s="222"/>
      <c r="T57" s="222"/>
      <c r="U57" s="138"/>
      <c r="V57" s="220"/>
    </row>
    <row r="58" spans="1:22" ht="14.45" customHeight="1" x14ac:dyDescent="0.25">
      <c r="A58" s="40">
        <v>1</v>
      </c>
      <c r="B58" s="44" t="s">
        <v>82</v>
      </c>
      <c r="C58" s="220"/>
      <c r="D58" s="220"/>
      <c r="E58" s="25" t="s">
        <v>135</v>
      </c>
      <c r="F58" s="214"/>
      <c r="G58" s="25"/>
      <c r="H58" s="220"/>
      <c r="I58" s="6">
        <v>91830</v>
      </c>
      <c r="J58" s="6">
        <f t="shared" si="1"/>
        <v>91830</v>
      </c>
      <c r="K58" s="124" t="s">
        <v>281</v>
      </c>
      <c r="L58" s="26"/>
      <c r="M58" s="26"/>
      <c r="N58" s="26"/>
      <c r="O58" s="26"/>
      <c r="P58" s="222"/>
      <c r="Q58" s="222"/>
      <c r="R58" s="222"/>
      <c r="S58" s="222"/>
      <c r="T58" s="222"/>
      <c r="U58" s="138"/>
      <c r="V58" s="220"/>
    </row>
    <row r="59" spans="1:22" ht="14.45" customHeight="1" x14ac:dyDescent="0.25">
      <c r="A59" s="40">
        <v>1</v>
      </c>
      <c r="B59" s="44" t="s">
        <v>82</v>
      </c>
      <c r="C59" s="220"/>
      <c r="D59" s="220"/>
      <c r="E59" s="25" t="s">
        <v>136</v>
      </c>
      <c r="F59" s="214"/>
      <c r="G59" s="25"/>
      <c r="H59" s="220"/>
      <c r="I59" s="6">
        <v>33930</v>
      </c>
      <c r="J59" s="6">
        <f t="shared" si="1"/>
        <v>33930</v>
      </c>
      <c r="K59" s="124" t="s">
        <v>281</v>
      </c>
      <c r="L59" s="26"/>
      <c r="M59" s="26"/>
      <c r="N59" s="26"/>
      <c r="O59" s="26"/>
      <c r="P59" s="222"/>
      <c r="Q59" s="222"/>
      <c r="R59" s="222"/>
      <c r="S59" s="222"/>
      <c r="T59" s="222"/>
      <c r="U59" s="138"/>
      <c r="V59" s="220"/>
    </row>
    <row r="60" spans="1:22" ht="14.45" customHeight="1" x14ac:dyDescent="0.25">
      <c r="A60" s="40">
        <v>1</v>
      </c>
      <c r="B60" s="44" t="s">
        <v>82</v>
      </c>
      <c r="C60" s="220"/>
      <c r="D60" s="220"/>
      <c r="E60" s="25" t="s">
        <v>140</v>
      </c>
      <c r="F60" s="214"/>
      <c r="G60" s="25"/>
      <c r="H60" s="220"/>
      <c r="I60" s="6">
        <v>40680</v>
      </c>
      <c r="J60" s="6">
        <f t="shared" si="1"/>
        <v>40680</v>
      </c>
      <c r="K60" s="124" t="s">
        <v>281</v>
      </c>
      <c r="L60" s="26"/>
      <c r="M60" s="26"/>
      <c r="N60" s="26"/>
      <c r="O60" s="26"/>
      <c r="P60" s="222"/>
      <c r="Q60" s="222"/>
      <c r="R60" s="222"/>
      <c r="S60" s="222"/>
      <c r="T60" s="222"/>
      <c r="U60" s="138"/>
      <c r="V60" s="220"/>
    </row>
    <row r="61" spans="1:22" ht="14.45" customHeight="1" x14ac:dyDescent="0.25">
      <c r="A61" s="40">
        <v>1</v>
      </c>
      <c r="B61" s="44" t="s">
        <v>82</v>
      </c>
      <c r="C61" s="220"/>
      <c r="D61" s="220"/>
      <c r="E61" s="25" t="s">
        <v>139</v>
      </c>
      <c r="F61" s="214"/>
      <c r="G61" s="25"/>
      <c r="H61" s="220"/>
      <c r="I61" s="6">
        <v>86010</v>
      </c>
      <c r="J61" s="6">
        <f t="shared" si="1"/>
        <v>86010</v>
      </c>
      <c r="K61" s="124" t="s">
        <v>281</v>
      </c>
      <c r="L61" s="26"/>
      <c r="M61" s="26"/>
      <c r="N61" s="26"/>
      <c r="O61" s="26"/>
      <c r="P61" s="222"/>
      <c r="Q61" s="222"/>
      <c r="R61" s="222"/>
      <c r="S61" s="222"/>
      <c r="T61" s="222"/>
      <c r="U61" s="138"/>
      <c r="V61" s="220"/>
    </row>
    <row r="62" spans="1:22" ht="14.45" customHeight="1" x14ac:dyDescent="0.25">
      <c r="A62" s="40">
        <v>1</v>
      </c>
      <c r="B62" s="44" t="s">
        <v>82</v>
      </c>
      <c r="C62" s="220"/>
      <c r="D62" s="220"/>
      <c r="E62" s="25" t="s">
        <v>87</v>
      </c>
      <c r="F62" s="214"/>
      <c r="G62" s="25"/>
      <c r="H62" s="220"/>
      <c r="I62" s="6">
        <v>203010</v>
      </c>
      <c r="J62" s="6">
        <f t="shared" si="1"/>
        <v>203010</v>
      </c>
      <c r="K62" s="124" t="s">
        <v>281</v>
      </c>
      <c r="L62" s="26"/>
      <c r="M62" s="26"/>
      <c r="N62" s="26"/>
      <c r="O62" s="26"/>
      <c r="P62" s="222"/>
      <c r="Q62" s="222"/>
      <c r="R62" s="222"/>
      <c r="S62" s="222"/>
      <c r="T62" s="222"/>
      <c r="U62" s="138"/>
      <c r="V62" s="220"/>
    </row>
    <row r="63" spans="1:22" ht="14.45" customHeight="1" x14ac:dyDescent="0.25">
      <c r="A63" s="40">
        <v>1</v>
      </c>
      <c r="B63" s="44" t="s">
        <v>82</v>
      </c>
      <c r="C63" s="220"/>
      <c r="D63" s="220"/>
      <c r="E63" s="25" t="s">
        <v>137</v>
      </c>
      <c r="F63" s="214"/>
      <c r="G63" s="25"/>
      <c r="H63" s="220"/>
      <c r="I63" s="6">
        <v>40020</v>
      </c>
      <c r="J63" s="6">
        <f t="shared" si="1"/>
        <v>40020</v>
      </c>
      <c r="K63" s="124" t="s">
        <v>281</v>
      </c>
      <c r="L63" s="26"/>
      <c r="M63" s="26"/>
      <c r="N63" s="26"/>
      <c r="O63" s="26"/>
      <c r="P63" s="222"/>
      <c r="Q63" s="222"/>
      <c r="R63" s="222"/>
      <c r="S63" s="222"/>
      <c r="T63" s="222"/>
      <c r="U63" s="138"/>
      <c r="V63" s="220"/>
    </row>
    <row r="64" spans="1:22" ht="14.45" customHeight="1" x14ac:dyDescent="0.25">
      <c r="A64" s="40">
        <v>1</v>
      </c>
      <c r="B64" s="44" t="s">
        <v>82</v>
      </c>
      <c r="C64" s="220"/>
      <c r="D64" s="220"/>
      <c r="E64" s="25" t="s">
        <v>138</v>
      </c>
      <c r="F64" s="214"/>
      <c r="G64" s="25"/>
      <c r="H64" s="220"/>
      <c r="I64" s="6">
        <v>160680</v>
      </c>
      <c r="J64" s="6">
        <f t="shared" si="1"/>
        <v>160680</v>
      </c>
      <c r="K64" s="124" t="s">
        <v>281</v>
      </c>
      <c r="L64" s="26"/>
      <c r="M64" s="26"/>
      <c r="N64" s="26"/>
      <c r="O64" s="26"/>
      <c r="P64" s="222"/>
      <c r="Q64" s="222"/>
      <c r="R64" s="222"/>
      <c r="S64" s="222"/>
      <c r="T64" s="222"/>
      <c r="U64" s="138"/>
      <c r="V64" s="220"/>
    </row>
    <row r="65" spans="1:22" ht="14.45" customHeight="1" x14ac:dyDescent="0.25">
      <c r="A65" s="40">
        <v>1</v>
      </c>
      <c r="B65" s="44" t="s">
        <v>82</v>
      </c>
      <c r="C65" s="220"/>
      <c r="D65" s="220"/>
      <c r="E65" s="25" t="s">
        <v>88</v>
      </c>
      <c r="F65" s="214"/>
      <c r="G65" s="25"/>
      <c r="H65" s="220"/>
      <c r="I65" s="6">
        <v>81150</v>
      </c>
      <c r="J65" s="6">
        <f t="shared" si="1"/>
        <v>81150</v>
      </c>
      <c r="K65" s="124" t="s">
        <v>281</v>
      </c>
      <c r="L65" s="26"/>
      <c r="M65" s="26"/>
      <c r="N65" s="26"/>
      <c r="O65" s="26"/>
      <c r="P65" s="222"/>
      <c r="Q65" s="222"/>
      <c r="R65" s="222"/>
      <c r="S65" s="222"/>
      <c r="T65" s="222"/>
      <c r="U65" s="138"/>
      <c r="V65" s="220"/>
    </row>
    <row r="66" spans="1:22" ht="14.45" customHeight="1" x14ac:dyDescent="0.25">
      <c r="A66" s="40">
        <v>1</v>
      </c>
      <c r="B66" s="44" t="s">
        <v>82</v>
      </c>
      <c r="C66" s="220"/>
      <c r="D66" s="220"/>
      <c r="E66" s="25" t="s">
        <v>141</v>
      </c>
      <c r="F66" s="214"/>
      <c r="G66" s="25"/>
      <c r="H66" s="220"/>
      <c r="I66" s="6">
        <v>29790</v>
      </c>
      <c r="J66" s="6">
        <f t="shared" si="1"/>
        <v>29790</v>
      </c>
      <c r="K66" s="124" t="s">
        <v>281</v>
      </c>
      <c r="L66" s="26"/>
      <c r="M66" s="26"/>
      <c r="N66" s="26"/>
      <c r="O66" s="26"/>
      <c r="P66" s="222"/>
      <c r="Q66" s="222"/>
      <c r="R66" s="222"/>
      <c r="S66" s="222"/>
      <c r="T66" s="222"/>
      <c r="U66" s="138"/>
      <c r="V66" s="220"/>
    </row>
    <row r="67" spans="1:22" ht="14.45" customHeight="1" x14ac:dyDescent="0.25">
      <c r="A67" s="40">
        <v>1</v>
      </c>
      <c r="B67" s="44" t="s">
        <v>82</v>
      </c>
      <c r="C67" s="220"/>
      <c r="D67" s="220"/>
      <c r="E67" s="25" t="s">
        <v>142</v>
      </c>
      <c r="F67" s="214"/>
      <c r="G67" s="25"/>
      <c r="H67" s="220"/>
      <c r="I67" s="6">
        <v>245160</v>
      </c>
      <c r="J67" s="6">
        <f t="shared" si="1"/>
        <v>245160</v>
      </c>
      <c r="K67" s="124" t="s">
        <v>281</v>
      </c>
      <c r="L67" s="26"/>
      <c r="M67" s="26"/>
      <c r="N67" s="26"/>
      <c r="O67" s="26"/>
      <c r="P67" s="222"/>
      <c r="Q67" s="222"/>
      <c r="R67" s="222"/>
      <c r="S67" s="222"/>
      <c r="T67" s="222"/>
      <c r="U67" s="138"/>
      <c r="V67" s="220"/>
    </row>
    <row r="68" spans="1:22" ht="14.45" customHeight="1" x14ac:dyDescent="0.25">
      <c r="A68" s="40">
        <v>1</v>
      </c>
      <c r="B68" s="44" t="s">
        <v>82</v>
      </c>
      <c r="C68" s="220"/>
      <c r="D68" s="220"/>
      <c r="E68" s="25" t="s">
        <v>143</v>
      </c>
      <c r="F68" s="214"/>
      <c r="G68" s="25"/>
      <c r="H68" s="220"/>
      <c r="I68" s="6">
        <v>40770</v>
      </c>
      <c r="J68" s="6">
        <f t="shared" si="1"/>
        <v>40770</v>
      </c>
      <c r="K68" s="124" t="s">
        <v>281</v>
      </c>
      <c r="L68" s="26"/>
      <c r="M68" s="26"/>
      <c r="N68" s="26"/>
      <c r="O68" s="26"/>
      <c r="P68" s="222"/>
      <c r="Q68" s="222"/>
      <c r="R68" s="222"/>
      <c r="S68" s="222"/>
      <c r="T68" s="222"/>
      <c r="U68" s="138"/>
      <c r="V68" s="220"/>
    </row>
    <row r="69" spans="1:22" ht="14.45" customHeight="1" x14ac:dyDescent="0.25">
      <c r="A69" s="40">
        <v>1</v>
      </c>
      <c r="B69" s="44" t="s">
        <v>82</v>
      </c>
      <c r="C69" s="220"/>
      <c r="D69" s="220"/>
      <c r="E69" s="25" t="s">
        <v>89</v>
      </c>
      <c r="F69" s="214"/>
      <c r="G69" s="25"/>
      <c r="H69" s="220"/>
      <c r="I69" s="6">
        <v>374820</v>
      </c>
      <c r="J69" s="6">
        <f t="shared" si="1"/>
        <v>374820</v>
      </c>
      <c r="K69" s="124" t="s">
        <v>281</v>
      </c>
      <c r="L69" s="26"/>
      <c r="M69" s="26"/>
      <c r="N69" s="26"/>
      <c r="O69" s="26"/>
      <c r="P69" s="222"/>
      <c r="Q69" s="222"/>
      <c r="R69" s="222"/>
      <c r="S69" s="222"/>
      <c r="T69" s="222"/>
      <c r="U69" s="138"/>
      <c r="V69" s="220"/>
    </row>
    <row r="70" spans="1:22" ht="14.45" customHeight="1" x14ac:dyDescent="0.25">
      <c r="A70" s="40">
        <v>1</v>
      </c>
      <c r="B70" s="44" t="s">
        <v>82</v>
      </c>
      <c r="C70" s="220"/>
      <c r="D70" s="220"/>
      <c r="E70" s="25" t="s">
        <v>144</v>
      </c>
      <c r="F70" s="214"/>
      <c r="G70" s="25"/>
      <c r="H70" s="220"/>
      <c r="I70" s="6">
        <v>377610</v>
      </c>
      <c r="J70" s="6">
        <f t="shared" si="1"/>
        <v>377610</v>
      </c>
      <c r="K70" s="124" t="s">
        <v>281</v>
      </c>
      <c r="L70" s="26"/>
      <c r="M70" s="26"/>
      <c r="N70" s="26"/>
      <c r="O70" s="26"/>
      <c r="P70" s="222"/>
      <c r="Q70" s="222"/>
      <c r="R70" s="222"/>
      <c r="S70" s="222"/>
      <c r="T70" s="222"/>
      <c r="U70" s="138"/>
      <c r="V70" s="220"/>
    </row>
    <row r="71" spans="1:22" ht="14.45" customHeight="1" x14ac:dyDescent="0.25">
      <c r="A71" s="40">
        <v>1</v>
      </c>
      <c r="B71" s="44" t="s">
        <v>82</v>
      </c>
      <c r="C71" s="220"/>
      <c r="D71" s="220"/>
      <c r="E71" s="25" t="s">
        <v>145</v>
      </c>
      <c r="F71" s="214"/>
      <c r="G71" s="25"/>
      <c r="H71" s="220"/>
      <c r="I71" s="6">
        <v>136440</v>
      </c>
      <c r="J71" s="6">
        <f t="shared" si="1"/>
        <v>136440</v>
      </c>
      <c r="K71" s="124" t="s">
        <v>281</v>
      </c>
      <c r="L71" s="26"/>
      <c r="M71" s="26"/>
      <c r="N71" s="26"/>
      <c r="O71" s="26"/>
      <c r="P71" s="222"/>
      <c r="Q71" s="222"/>
      <c r="R71" s="222"/>
      <c r="S71" s="222"/>
      <c r="T71" s="222"/>
      <c r="U71" s="138"/>
      <c r="V71" s="220"/>
    </row>
    <row r="72" spans="1:22" ht="14.45" customHeight="1" x14ac:dyDescent="0.25">
      <c r="A72" s="40">
        <v>1</v>
      </c>
      <c r="B72" s="44" t="s">
        <v>82</v>
      </c>
      <c r="C72" s="220"/>
      <c r="D72" s="220"/>
      <c r="E72" s="25" t="s">
        <v>146</v>
      </c>
      <c r="F72" s="214"/>
      <c r="G72" s="25"/>
      <c r="H72" s="220"/>
      <c r="I72" s="6">
        <v>92160</v>
      </c>
      <c r="J72" s="6">
        <f t="shared" si="1"/>
        <v>92160</v>
      </c>
      <c r="K72" s="124" t="s">
        <v>281</v>
      </c>
      <c r="L72" s="26"/>
      <c r="M72" s="26"/>
      <c r="N72" s="26"/>
      <c r="O72" s="26"/>
      <c r="P72" s="222"/>
      <c r="Q72" s="222"/>
      <c r="R72" s="222"/>
      <c r="S72" s="222"/>
      <c r="T72" s="222"/>
      <c r="U72" s="138"/>
      <c r="V72" s="220"/>
    </row>
    <row r="73" spans="1:22" ht="14.45" customHeight="1" x14ac:dyDescent="0.25">
      <c r="A73" s="40">
        <v>1</v>
      </c>
      <c r="B73" s="44" t="s">
        <v>82</v>
      </c>
      <c r="C73" s="220"/>
      <c r="D73" s="220"/>
      <c r="E73" s="25" t="s">
        <v>147</v>
      </c>
      <c r="F73" s="214"/>
      <c r="G73" s="25"/>
      <c r="H73" s="220"/>
      <c r="I73" s="6">
        <v>184200</v>
      </c>
      <c r="J73" s="6">
        <f t="shared" si="1"/>
        <v>184200</v>
      </c>
      <c r="K73" s="124" t="s">
        <v>281</v>
      </c>
      <c r="L73" s="26"/>
      <c r="M73" s="26"/>
      <c r="N73" s="26"/>
      <c r="O73" s="26"/>
      <c r="P73" s="222"/>
      <c r="Q73" s="222"/>
      <c r="R73" s="222"/>
      <c r="S73" s="222"/>
      <c r="T73" s="222"/>
      <c r="U73" s="138"/>
      <c r="V73" s="220"/>
    </row>
    <row r="74" spans="1:22" ht="14.45" customHeight="1" x14ac:dyDescent="0.25">
      <c r="A74" s="40">
        <v>1</v>
      </c>
      <c r="B74" s="44" t="s">
        <v>82</v>
      </c>
      <c r="C74" s="220"/>
      <c r="D74" s="220"/>
      <c r="E74" s="25" t="s">
        <v>148</v>
      </c>
      <c r="F74" s="214"/>
      <c r="G74" s="25"/>
      <c r="H74" s="220"/>
      <c r="I74" s="6">
        <v>47220</v>
      </c>
      <c r="J74" s="6">
        <f t="shared" si="1"/>
        <v>47220</v>
      </c>
      <c r="K74" s="124" t="s">
        <v>281</v>
      </c>
      <c r="L74" s="26"/>
      <c r="M74" s="26"/>
      <c r="N74" s="26"/>
      <c r="O74" s="26"/>
      <c r="P74" s="222"/>
      <c r="Q74" s="222"/>
      <c r="R74" s="222"/>
      <c r="S74" s="222"/>
      <c r="T74" s="222"/>
      <c r="U74" s="138"/>
      <c r="V74" s="220"/>
    </row>
    <row r="75" spans="1:22" ht="14.45" customHeight="1" x14ac:dyDescent="0.25">
      <c r="A75" s="40">
        <v>1</v>
      </c>
      <c r="B75" s="44" t="s">
        <v>82</v>
      </c>
      <c r="C75" s="220"/>
      <c r="D75" s="220"/>
      <c r="E75" s="25" t="s">
        <v>149</v>
      </c>
      <c r="F75" s="214"/>
      <c r="G75" s="25"/>
      <c r="H75" s="220"/>
      <c r="I75" s="6">
        <v>84210</v>
      </c>
      <c r="J75" s="6">
        <f t="shared" si="1"/>
        <v>84210</v>
      </c>
      <c r="K75" s="124" t="s">
        <v>281</v>
      </c>
      <c r="L75" s="26"/>
      <c r="M75" s="26"/>
      <c r="N75" s="26"/>
      <c r="O75" s="26"/>
      <c r="P75" s="222"/>
      <c r="Q75" s="222"/>
      <c r="R75" s="222"/>
      <c r="S75" s="222"/>
      <c r="T75" s="222"/>
      <c r="U75" s="138"/>
      <c r="V75" s="220"/>
    </row>
    <row r="76" spans="1:22" ht="14.45" customHeight="1" x14ac:dyDescent="0.25">
      <c r="A76" s="40">
        <v>1</v>
      </c>
      <c r="B76" s="44" t="s">
        <v>82</v>
      </c>
      <c r="C76" s="220"/>
      <c r="D76" s="220"/>
      <c r="E76" s="25" t="s">
        <v>150</v>
      </c>
      <c r="F76" s="214"/>
      <c r="G76" s="25"/>
      <c r="H76" s="220"/>
      <c r="I76" s="6">
        <v>260010</v>
      </c>
      <c r="J76" s="6">
        <f t="shared" si="1"/>
        <v>260010</v>
      </c>
      <c r="K76" s="124" t="s">
        <v>281</v>
      </c>
      <c r="L76" s="26"/>
      <c r="M76" s="26"/>
      <c r="N76" s="26"/>
      <c r="O76" s="26"/>
      <c r="P76" s="222"/>
      <c r="Q76" s="222"/>
      <c r="R76" s="222"/>
      <c r="S76" s="222"/>
      <c r="T76" s="222"/>
      <c r="U76" s="138"/>
      <c r="V76" s="220"/>
    </row>
    <row r="77" spans="1:22" ht="14.45" customHeight="1" x14ac:dyDescent="0.25">
      <c r="A77" s="40">
        <v>1</v>
      </c>
      <c r="B77" s="44" t="s">
        <v>82</v>
      </c>
      <c r="C77" s="220"/>
      <c r="D77" s="220"/>
      <c r="E77" s="25" t="s">
        <v>151</v>
      </c>
      <c r="F77" s="214"/>
      <c r="G77" s="25"/>
      <c r="H77" s="220"/>
      <c r="I77" s="6">
        <v>138120</v>
      </c>
      <c r="J77" s="6">
        <f t="shared" si="1"/>
        <v>138120</v>
      </c>
      <c r="K77" s="124" t="s">
        <v>281</v>
      </c>
      <c r="L77" s="26"/>
      <c r="M77" s="26"/>
      <c r="N77" s="26"/>
      <c r="O77" s="26"/>
      <c r="P77" s="222"/>
      <c r="Q77" s="222"/>
      <c r="R77" s="222"/>
      <c r="S77" s="222"/>
      <c r="T77" s="222"/>
      <c r="U77" s="138"/>
      <c r="V77" s="220"/>
    </row>
    <row r="78" spans="1:22" ht="14.45" customHeight="1" x14ac:dyDescent="0.25">
      <c r="A78" s="40">
        <v>1</v>
      </c>
      <c r="B78" s="44" t="s">
        <v>82</v>
      </c>
      <c r="C78" s="220"/>
      <c r="D78" s="220"/>
      <c r="E78" s="25" t="s">
        <v>152</v>
      </c>
      <c r="F78" s="214"/>
      <c r="G78" s="25"/>
      <c r="H78" s="220"/>
      <c r="I78" s="6">
        <v>288540</v>
      </c>
      <c r="J78" s="6">
        <f t="shared" si="1"/>
        <v>288540</v>
      </c>
      <c r="K78" s="124" t="s">
        <v>281</v>
      </c>
      <c r="L78" s="26"/>
      <c r="M78" s="26"/>
      <c r="N78" s="26"/>
      <c r="O78" s="26"/>
      <c r="P78" s="222"/>
      <c r="Q78" s="222"/>
      <c r="R78" s="222"/>
      <c r="S78" s="222"/>
      <c r="T78" s="222"/>
      <c r="U78" s="138"/>
      <c r="V78" s="220"/>
    </row>
    <row r="79" spans="1:22" ht="14.45" customHeight="1" x14ac:dyDescent="0.25">
      <c r="A79" s="40">
        <v>1</v>
      </c>
      <c r="B79" s="44" t="s">
        <v>82</v>
      </c>
      <c r="C79" s="220"/>
      <c r="D79" s="220"/>
      <c r="E79" s="25" t="s">
        <v>104</v>
      </c>
      <c r="F79" s="214"/>
      <c r="G79" s="25"/>
      <c r="H79" s="220"/>
      <c r="I79" s="6">
        <v>133230</v>
      </c>
      <c r="J79" s="6">
        <f t="shared" si="1"/>
        <v>133230</v>
      </c>
      <c r="K79" s="124" t="s">
        <v>281</v>
      </c>
      <c r="L79" s="26"/>
      <c r="M79" s="26"/>
      <c r="N79" s="26"/>
      <c r="O79" s="26"/>
      <c r="P79" s="222"/>
      <c r="Q79" s="222"/>
      <c r="R79" s="222"/>
      <c r="S79" s="222"/>
      <c r="T79" s="222"/>
      <c r="U79" s="138"/>
      <c r="V79" s="220"/>
    </row>
    <row r="80" spans="1:22" ht="14.45" customHeight="1" x14ac:dyDescent="0.25">
      <c r="A80" s="40">
        <v>1</v>
      </c>
      <c r="B80" s="44" t="s">
        <v>82</v>
      </c>
      <c r="C80" s="220"/>
      <c r="D80" s="220"/>
      <c r="E80" s="25" t="s">
        <v>153</v>
      </c>
      <c r="F80" s="214"/>
      <c r="G80" s="25"/>
      <c r="H80" s="220"/>
      <c r="I80" s="6">
        <v>157410</v>
      </c>
      <c r="J80" s="6">
        <f t="shared" si="1"/>
        <v>157410</v>
      </c>
      <c r="K80" s="124" t="s">
        <v>281</v>
      </c>
      <c r="L80" s="26"/>
      <c r="M80" s="26"/>
      <c r="N80" s="26"/>
      <c r="O80" s="26"/>
      <c r="P80" s="222"/>
      <c r="Q80" s="222"/>
      <c r="R80" s="222"/>
      <c r="S80" s="222"/>
      <c r="T80" s="222"/>
      <c r="U80" s="138"/>
      <c r="V80" s="220"/>
    </row>
    <row r="81" spans="1:22" ht="14.45" customHeight="1" x14ac:dyDescent="0.25">
      <c r="A81" s="40">
        <v>1</v>
      </c>
      <c r="B81" s="44" t="s">
        <v>82</v>
      </c>
      <c r="C81" s="220"/>
      <c r="D81" s="220"/>
      <c r="E81" s="25" t="s">
        <v>154</v>
      </c>
      <c r="F81" s="214"/>
      <c r="G81" s="25"/>
      <c r="H81" s="220"/>
      <c r="I81" s="6">
        <v>109770</v>
      </c>
      <c r="J81" s="6">
        <f t="shared" si="1"/>
        <v>109770</v>
      </c>
      <c r="K81" s="124" t="s">
        <v>281</v>
      </c>
      <c r="L81" s="26"/>
      <c r="M81" s="26"/>
      <c r="N81" s="26"/>
      <c r="O81" s="26"/>
      <c r="P81" s="222"/>
      <c r="Q81" s="222"/>
      <c r="R81" s="222"/>
      <c r="S81" s="222"/>
      <c r="T81" s="222"/>
      <c r="U81" s="138"/>
      <c r="V81" s="220"/>
    </row>
    <row r="82" spans="1:22" ht="14.45" customHeight="1" x14ac:dyDescent="0.25">
      <c r="A82" s="40">
        <v>1</v>
      </c>
      <c r="B82" s="44" t="s">
        <v>82</v>
      </c>
      <c r="C82" s="220"/>
      <c r="D82" s="220"/>
      <c r="E82" s="25" t="s">
        <v>155</v>
      </c>
      <c r="F82" s="214"/>
      <c r="G82" s="25"/>
      <c r="H82" s="220"/>
      <c r="I82" s="6">
        <v>212130</v>
      </c>
      <c r="J82" s="6">
        <f t="shared" ref="J82:J113" si="2">I82</f>
        <v>212130</v>
      </c>
      <c r="K82" s="124" t="s">
        <v>281</v>
      </c>
      <c r="L82" s="26"/>
      <c r="M82" s="26"/>
      <c r="N82" s="26"/>
      <c r="O82" s="26"/>
      <c r="P82" s="222"/>
      <c r="Q82" s="222"/>
      <c r="R82" s="222"/>
      <c r="S82" s="222"/>
      <c r="T82" s="222"/>
      <c r="U82" s="138"/>
      <c r="V82" s="220"/>
    </row>
    <row r="83" spans="1:22" ht="14.45" customHeight="1" x14ac:dyDescent="0.25">
      <c r="A83" s="40">
        <v>1</v>
      </c>
      <c r="B83" s="44" t="s">
        <v>82</v>
      </c>
      <c r="C83" s="220"/>
      <c r="D83" s="220"/>
      <c r="E83" s="25" t="s">
        <v>156</v>
      </c>
      <c r="F83" s="214"/>
      <c r="G83" s="25"/>
      <c r="H83" s="220"/>
      <c r="I83" s="6">
        <v>125130</v>
      </c>
      <c r="J83" s="6">
        <f t="shared" si="2"/>
        <v>125130</v>
      </c>
      <c r="K83" s="124" t="s">
        <v>281</v>
      </c>
      <c r="L83" s="26"/>
      <c r="M83" s="26"/>
      <c r="N83" s="26"/>
      <c r="O83" s="26"/>
      <c r="P83" s="222"/>
      <c r="Q83" s="222"/>
      <c r="R83" s="222"/>
      <c r="S83" s="222"/>
      <c r="T83" s="222"/>
      <c r="U83" s="138"/>
      <c r="V83" s="220"/>
    </row>
    <row r="84" spans="1:22" ht="14.45" customHeight="1" x14ac:dyDescent="0.25">
      <c r="A84" s="40">
        <v>1</v>
      </c>
      <c r="B84" s="44" t="s">
        <v>82</v>
      </c>
      <c r="C84" s="220"/>
      <c r="D84" s="220"/>
      <c r="E84" s="25" t="s">
        <v>90</v>
      </c>
      <c r="F84" s="214"/>
      <c r="G84" s="25"/>
      <c r="H84" s="220"/>
      <c r="I84" s="6">
        <v>309420</v>
      </c>
      <c r="J84" s="6">
        <f t="shared" si="2"/>
        <v>309420</v>
      </c>
      <c r="K84" s="124" t="s">
        <v>281</v>
      </c>
      <c r="L84" s="26"/>
      <c r="M84" s="26"/>
      <c r="N84" s="26"/>
      <c r="O84" s="26"/>
      <c r="P84" s="222"/>
      <c r="Q84" s="222"/>
      <c r="R84" s="222"/>
      <c r="S84" s="222"/>
      <c r="T84" s="222"/>
      <c r="U84" s="138"/>
      <c r="V84" s="220"/>
    </row>
    <row r="85" spans="1:22" ht="14.45" customHeight="1" x14ac:dyDescent="0.25">
      <c r="A85" s="40">
        <v>1</v>
      </c>
      <c r="B85" s="44" t="s">
        <v>82</v>
      </c>
      <c r="C85" s="220"/>
      <c r="D85" s="220"/>
      <c r="E85" s="25" t="s">
        <v>157</v>
      </c>
      <c r="F85" s="214"/>
      <c r="G85" s="25"/>
      <c r="H85" s="220"/>
      <c r="I85" s="6">
        <v>356220</v>
      </c>
      <c r="J85" s="6">
        <f t="shared" si="2"/>
        <v>356220</v>
      </c>
      <c r="K85" s="124" t="s">
        <v>281</v>
      </c>
      <c r="L85" s="26"/>
      <c r="M85" s="26"/>
      <c r="N85" s="26"/>
      <c r="O85" s="26"/>
      <c r="P85" s="222"/>
      <c r="Q85" s="222"/>
      <c r="R85" s="222"/>
      <c r="S85" s="222"/>
      <c r="T85" s="222"/>
      <c r="U85" s="138"/>
      <c r="V85" s="220"/>
    </row>
    <row r="86" spans="1:22" ht="14.45" customHeight="1" x14ac:dyDescent="0.25">
      <c r="A86" s="40">
        <v>1</v>
      </c>
      <c r="B86" s="44" t="s">
        <v>82</v>
      </c>
      <c r="C86" s="220"/>
      <c r="D86" s="220"/>
      <c r="E86" s="25" t="s">
        <v>158</v>
      </c>
      <c r="F86" s="214"/>
      <c r="G86" s="25"/>
      <c r="H86" s="220"/>
      <c r="I86" s="6">
        <v>102390</v>
      </c>
      <c r="J86" s="6">
        <f t="shared" si="2"/>
        <v>102390</v>
      </c>
      <c r="K86" s="124" t="s">
        <v>281</v>
      </c>
      <c r="L86" s="26"/>
      <c r="M86" s="26"/>
      <c r="N86" s="26"/>
      <c r="O86" s="26"/>
      <c r="P86" s="222"/>
      <c r="Q86" s="222"/>
      <c r="R86" s="222"/>
      <c r="S86" s="222"/>
      <c r="T86" s="222"/>
      <c r="U86" s="138"/>
      <c r="V86" s="220"/>
    </row>
    <row r="87" spans="1:22" ht="14.45" customHeight="1" x14ac:dyDescent="0.25">
      <c r="A87" s="40">
        <v>1</v>
      </c>
      <c r="B87" s="44" t="s">
        <v>82</v>
      </c>
      <c r="C87" s="220"/>
      <c r="D87" s="220"/>
      <c r="E87" s="25" t="s">
        <v>159</v>
      </c>
      <c r="F87" s="214"/>
      <c r="G87" s="25"/>
      <c r="H87" s="220"/>
      <c r="I87" s="6">
        <v>157200</v>
      </c>
      <c r="J87" s="6">
        <f t="shared" si="2"/>
        <v>157200</v>
      </c>
      <c r="K87" s="124" t="s">
        <v>281</v>
      </c>
      <c r="L87" s="26"/>
      <c r="M87" s="26"/>
      <c r="N87" s="26"/>
      <c r="O87" s="26"/>
      <c r="P87" s="222"/>
      <c r="Q87" s="222"/>
      <c r="R87" s="222"/>
      <c r="S87" s="222"/>
      <c r="T87" s="222"/>
      <c r="U87" s="138"/>
      <c r="V87" s="220"/>
    </row>
    <row r="88" spans="1:22" ht="14.45" customHeight="1" x14ac:dyDescent="0.25">
      <c r="A88" s="40">
        <v>1</v>
      </c>
      <c r="B88" s="44" t="s">
        <v>82</v>
      </c>
      <c r="C88" s="220"/>
      <c r="D88" s="220"/>
      <c r="E88" s="25" t="s">
        <v>91</v>
      </c>
      <c r="F88" s="214"/>
      <c r="G88" s="25"/>
      <c r="H88" s="220"/>
      <c r="I88" s="6">
        <v>475680</v>
      </c>
      <c r="J88" s="6">
        <f t="shared" si="2"/>
        <v>475680</v>
      </c>
      <c r="K88" s="124" t="s">
        <v>281</v>
      </c>
      <c r="L88" s="26"/>
      <c r="M88" s="26"/>
      <c r="N88" s="26"/>
      <c r="O88" s="26"/>
      <c r="P88" s="222"/>
      <c r="Q88" s="222"/>
      <c r="R88" s="222"/>
      <c r="S88" s="222"/>
      <c r="T88" s="222"/>
      <c r="U88" s="138"/>
      <c r="V88" s="220"/>
    </row>
    <row r="89" spans="1:22" ht="14.45" customHeight="1" x14ac:dyDescent="0.25">
      <c r="A89" s="40">
        <v>1</v>
      </c>
      <c r="B89" s="44" t="s">
        <v>82</v>
      </c>
      <c r="C89" s="220"/>
      <c r="D89" s="220"/>
      <c r="E89" s="25" t="s">
        <v>160</v>
      </c>
      <c r="F89" s="214"/>
      <c r="G89" s="25"/>
      <c r="H89" s="220"/>
      <c r="I89" s="6">
        <v>30000</v>
      </c>
      <c r="J89" s="6">
        <f t="shared" si="2"/>
        <v>30000</v>
      </c>
      <c r="K89" s="124" t="s">
        <v>281</v>
      </c>
      <c r="L89" s="26"/>
      <c r="M89" s="26"/>
      <c r="N89" s="26"/>
      <c r="O89" s="26"/>
      <c r="P89" s="222"/>
      <c r="Q89" s="222"/>
      <c r="R89" s="222"/>
      <c r="S89" s="222"/>
      <c r="T89" s="222"/>
      <c r="U89" s="138"/>
      <c r="V89" s="220"/>
    </row>
    <row r="90" spans="1:22" ht="14.45" customHeight="1" x14ac:dyDescent="0.25">
      <c r="A90" s="40">
        <v>1</v>
      </c>
      <c r="B90" s="44" t="s">
        <v>82</v>
      </c>
      <c r="C90" s="220"/>
      <c r="D90" s="220"/>
      <c r="E90" s="25" t="s">
        <v>105</v>
      </c>
      <c r="F90" s="214"/>
      <c r="G90" s="25"/>
      <c r="H90" s="220"/>
      <c r="I90" s="6">
        <v>248670</v>
      </c>
      <c r="J90" s="6">
        <f t="shared" si="2"/>
        <v>248670</v>
      </c>
      <c r="K90" s="124" t="s">
        <v>281</v>
      </c>
      <c r="L90" s="26"/>
      <c r="M90" s="26"/>
      <c r="N90" s="26"/>
      <c r="O90" s="26"/>
      <c r="P90" s="222"/>
      <c r="Q90" s="222"/>
      <c r="R90" s="222"/>
      <c r="S90" s="222"/>
      <c r="T90" s="222"/>
      <c r="U90" s="138"/>
      <c r="V90" s="220"/>
    </row>
    <row r="91" spans="1:22" ht="14.45" customHeight="1" x14ac:dyDescent="0.25">
      <c r="A91" s="40">
        <v>1</v>
      </c>
      <c r="B91" s="44" t="s">
        <v>82</v>
      </c>
      <c r="C91" s="220"/>
      <c r="D91" s="220"/>
      <c r="E91" s="25" t="s">
        <v>92</v>
      </c>
      <c r="F91" s="214"/>
      <c r="G91" s="25"/>
      <c r="H91" s="220"/>
      <c r="I91" s="6">
        <v>102210</v>
      </c>
      <c r="J91" s="6">
        <f t="shared" si="2"/>
        <v>102210</v>
      </c>
      <c r="K91" s="124" t="s">
        <v>281</v>
      </c>
      <c r="L91" s="26"/>
      <c r="M91" s="26"/>
      <c r="N91" s="26"/>
      <c r="O91" s="26"/>
      <c r="P91" s="222"/>
      <c r="Q91" s="222"/>
      <c r="R91" s="222"/>
      <c r="S91" s="222"/>
      <c r="T91" s="222"/>
      <c r="U91" s="138"/>
      <c r="V91" s="220"/>
    </row>
    <row r="92" spans="1:22" ht="14.45" customHeight="1" x14ac:dyDescent="0.25">
      <c r="A92" s="40">
        <v>1</v>
      </c>
      <c r="B92" s="44" t="s">
        <v>82</v>
      </c>
      <c r="C92" s="220"/>
      <c r="D92" s="220"/>
      <c r="E92" s="25" t="s">
        <v>161</v>
      </c>
      <c r="F92" s="214"/>
      <c r="G92" s="25"/>
      <c r="H92" s="220"/>
      <c r="I92" s="6">
        <v>14430</v>
      </c>
      <c r="J92" s="6">
        <f t="shared" si="2"/>
        <v>14430</v>
      </c>
      <c r="K92" s="124" t="s">
        <v>281</v>
      </c>
      <c r="L92" s="26"/>
      <c r="M92" s="26"/>
      <c r="N92" s="26"/>
      <c r="O92" s="26"/>
      <c r="P92" s="222"/>
      <c r="Q92" s="222"/>
      <c r="R92" s="222"/>
      <c r="S92" s="222"/>
      <c r="T92" s="222"/>
      <c r="U92" s="138"/>
      <c r="V92" s="220"/>
    </row>
    <row r="93" spans="1:22" ht="14.45" customHeight="1" x14ac:dyDescent="0.25">
      <c r="A93" s="40">
        <v>1</v>
      </c>
      <c r="B93" s="44" t="s">
        <v>82</v>
      </c>
      <c r="C93" s="220"/>
      <c r="D93" s="220"/>
      <c r="E93" s="25" t="s">
        <v>162</v>
      </c>
      <c r="F93" s="214"/>
      <c r="G93" s="25"/>
      <c r="H93" s="220"/>
      <c r="I93" s="6">
        <v>89160</v>
      </c>
      <c r="J93" s="6">
        <f t="shared" si="2"/>
        <v>89160</v>
      </c>
      <c r="K93" s="124" t="s">
        <v>281</v>
      </c>
      <c r="L93" s="26"/>
      <c r="M93" s="26"/>
      <c r="N93" s="26"/>
      <c r="O93" s="26"/>
      <c r="P93" s="222"/>
      <c r="Q93" s="222"/>
      <c r="R93" s="222"/>
      <c r="S93" s="222"/>
      <c r="T93" s="222"/>
      <c r="U93" s="138"/>
      <c r="V93" s="220"/>
    </row>
    <row r="94" spans="1:22" ht="14.45" customHeight="1" x14ac:dyDescent="0.25">
      <c r="A94" s="40">
        <v>1</v>
      </c>
      <c r="B94" s="44" t="s">
        <v>82</v>
      </c>
      <c r="C94" s="220"/>
      <c r="D94" s="220"/>
      <c r="E94" s="25" t="s">
        <v>163</v>
      </c>
      <c r="F94" s="214"/>
      <c r="G94" s="25"/>
      <c r="H94" s="220"/>
      <c r="I94" s="6">
        <v>192840</v>
      </c>
      <c r="J94" s="6">
        <f t="shared" si="2"/>
        <v>192840</v>
      </c>
      <c r="K94" s="124" t="s">
        <v>281</v>
      </c>
      <c r="L94" s="26"/>
      <c r="M94" s="26"/>
      <c r="N94" s="26"/>
      <c r="O94" s="26"/>
      <c r="P94" s="222"/>
      <c r="Q94" s="222"/>
      <c r="R94" s="222"/>
      <c r="S94" s="222"/>
      <c r="T94" s="222"/>
      <c r="U94" s="138"/>
      <c r="V94" s="220"/>
    </row>
    <row r="95" spans="1:22" ht="14.45" customHeight="1" x14ac:dyDescent="0.25">
      <c r="A95" s="40">
        <v>1</v>
      </c>
      <c r="B95" s="44" t="s">
        <v>82</v>
      </c>
      <c r="C95" s="220"/>
      <c r="D95" s="220"/>
      <c r="E95" s="25" t="s">
        <v>164</v>
      </c>
      <c r="F95" s="214"/>
      <c r="G95" s="25"/>
      <c r="H95" s="220"/>
      <c r="I95" s="6">
        <v>115170</v>
      </c>
      <c r="J95" s="6">
        <f t="shared" si="2"/>
        <v>115170</v>
      </c>
      <c r="K95" s="124" t="s">
        <v>281</v>
      </c>
      <c r="L95" s="26"/>
      <c r="M95" s="26"/>
      <c r="N95" s="26"/>
      <c r="O95" s="26"/>
      <c r="P95" s="222"/>
      <c r="Q95" s="222"/>
      <c r="R95" s="222"/>
      <c r="S95" s="222"/>
      <c r="T95" s="222"/>
      <c r="U95" s="138"/>
      <c r="V95" s="220"/>
    </row>
    <row r="96" spans="1:22" ht="14.45" customHeight="1" x14ac:dyDescent="0.25">
      <c r="A96" s="40">
        <v>1</v>
      </c>
      <c r="B96" s="44" t="s">
        <v>82</v>
      </c>
      <c r="C96" s="220"/>
      <c r="D96" s="220"/>
      <c r="E96" s="25" t="s">
        <v>165</v>
      </c>
      <c r="F96" s="214"/>
      <c r="G96" s="25"/>
      <c r="H96" s="220"/>
      <c r="I96" s="6">
        <v>144600</v>
      </c>
      <c r="J96" s="6">
        <f t="shared" si="2"/>
        <v>144600</v>
      </c>
      <c r="K96" s="124" t="s">
        <v>281</v>
      </c>
      <c r="L96" s="26"/>
      <c r="M96" s="26"/>
      <c r="N96" s="26"/>
      <c r="O96" s="26"/>
      <c r="P96" s="222"/>
      <c r="Q96" s="222"/>
      <c r="R96" s="222"/>
      <c r="S96" s="222"/>
      <c r="T96" s="222"/>
      <c r="U96" s="138"/>
      <c r="V96" s="220"/>
    </row>
    <row r="97" spans="1:22" ht="14.45" customHeight="1" x14ac:dyDescent="0.25">
      <c r="A97" s="40">
        <v>1</v>
      </c>
      <c r="B97" s="44" t="s">
        <v>82</v>
      </c>
      <c r="C97" s="220"/>
      <c r="D97" s="220"/>
      <c r="E97" s="25" t="s">
        <v>166</v>
      </c>
      <c r="F97" s="214"/>
      <c r="G97" s="25"/>
      <c r="H97" s="220"/>
      <c r="I97" s="6">
        <v>75540</v>
      </c>
      <c r="J97" s="6">
        <f t="shared" si="2"/>
        <v>75540</v>
      </c>
      <c r="K97" s="124" t="s">
        <v>281</v>
      </c>
      <c r="L97" s="26"/>
      <c r="M97" s="26"/>
      <c r="N97" s="26"/>
      <c r="O97" s="26"/>
      <c r="P97" s="222"/>
      <c r="Q97" s="222"/>
      <c r="R97" s="222"/>
      <c r="S97" s="222"/>
      <c r="T97" s="222"/>
      <c r="U97" s="138"/>
      <c r="V97" s="220"/>
    </row>
    <row r="98" spans="1:22" ht="14.45" customHeight="1" x14ac:dyDescent="0.25">
      <c r="A98" s="40">
        <v>1</v>
      </c>
      <c r="B98" s="44" t="s">
        <v>82</v>
      </c>
      <c r="C98" s="220"/>
      <c r="D98" s="220"/>
      <c r="E98" s="25" t="s">
        <v>94</v>
      </c>
      <c r="F98" s="214"/>
      <c r="G98" s="25"/>
      <c r="H98" s="220"/>
      <c r="I98" s="6">
        <v>278490</v>
      </c>
      <c r="J98" s="6">
        <f t="shared" si="2"/>
        <v>278490</v>
      </c>
      <c r="K98" s="124" t="s">
        <v>281</v>
      </c>
      <c r="L98" s="26"/>
      <c r="M98" s="26"/>
      <c r="N98" s="26"/>
      <c r="O98" s="26"/>
      <c r="P98" s="222"/>
      <c r="Q98" s="222"/>
      <c r="R98" s="222"/>
      <c r="S98" s="222"/>
      <c r="T98" s="222"/>
      <c r="U98" s="138"/>
      <c r="V98" s="220"/>
    </row>
    <row r="99" spans="1:22" ht="14.45" customHeight="1" x14ac:dyDescent="0.25">
      <c r="A99" s="40">
        <v>1</v>
      </c>
      <c r="B99" s="44" t="s">
        <v>82</v>
      </c>
      <c r="C99" s="220"/>
      <c r="D99" s="220"/>
      <c r="E99" s="25" t="s">
        <v>167</v>
      </c>
      <c r="F99" s="214"/>
      <c r="G99" s="25"/>
      <c r="H99" s="220"/>
      <c r="I99" s="6">
        <v>22890</v>
      </c>
      <c r="J99" s="6">
        <f t="shared" si="2"/>
        <v>22890</v>
      </c>
      <c r="K99" s="124" t="s">
        <v>281</v>
      </c>
      <c r="L99" s="26"/>
      <c r="M99" s="26"/>
      <c r="N99" s="26"/>
      <c r="O99" s="26"/>
      <c r="P99" s="222"/>
      <c r="Q99" s="222"/>
      <c r="R99" s="222"/>
      <c r="S99" s="222"/>
      <c r="T99" s="222"/>
      <c r="U99" s="138"/>
      <c r="V99" s="220"/>
    </row>
    <row r="100" spans="1:22" ht="14.45" customHeight="1" x14ac:dyDescent="0.25">
      <c r="A100" s="40">
        <v>1</v>
      </c>
      <c r="B100" s="44" t="s">
        <v>82</v>
      </c>
      <c r="C100" s="220"/>
      <c r="D100" s="220"/>
      <c r="E100" s="25" t="s">
        <v>168</v>
      </c>
      <c r="F100" s="214"/>
      <c r="G100" s="25"/>
      <c r="H100" s="220"/>
      <c r="I100" s="6">
        <v>15030</v>
      </c>
      <c r="J100" s="6">
        <f t="shared" si="2"/>
        <v>15030</v>
      </c>
      <c r="K100" s="124" t="s">
        <v>281</v>
      </c>
      <c r="L100" s="26"/>
      <c r="M100" s="26"/>
      <c r="N100" s="26"/>
      <c r="O100" s="26"/>
      <c r="P100" s="222"/>
      <c r="Q100" s="222"/>
      <c r="R100" s="222"/>
      <c r="S100" s="222"/>
      <c r="T100" s="222"/>
      <c r="U100" s="138"/>
      <c r="V100" s="220"/>
    </row>
    <row r="101" spans="1:22" ht="14.45" customHeight="1" x14ac:dyDescent="0.25">
      <c r="A101" s="40">
        <v>1</v>
      </c>
      <c r="B101" s="44" t="s">
        <v>82</v>
      </c>
      <c r="C101" s="220"/>
      <c r="D101" s="220"/>
      <c r="E101" s="25" t="s">
        <v>95</v>
      </c>
      <c r="F101" s="214"/>
      <c r="G101" s="25"/>
      <c r="H101" s="220"/>
      <c r="I101" s="6">
        <v>96270</v>
      </c>
      <c r="J101" s="6">
        <f t="shared" si="2"/>
        <v>96270</v>
      </c>
      <c r="K101" s="124" t="s">
        <v>281</v>
      </c>
      <c r="L101" s="26"/>
      <c r="M101" s="26"/>
      <c r="N101" s="26"/>
      <c r="O101" s="26"/>
      <c r="P101" s="222"/>
      <c r="Q101" s="222"/>
      <c r="R101" s="222"/>
      <c r="S101" s="222"/>
      <c r="T101" s="222"/>
      <c r="U101" s="138"/>
      <c r="V101" s="220"/>
    </row>
    <row r="102" spans="1:22" ht="14.45" customHeight="1" x14ac:dyDescent="0.25">
      <c r="A102" s="40">
        <v>1</v>
      </c>
      <c r="B102" s="44" t="s">
        <v>82</v>
      </c>
      <c r="C102" s="220"/>
      <c r="D102" s="220"/>
      <c r="E102" s="25" t="s">
        <v>169</v>
      </c>
      <c r="F102" s="214"/>
      <c r="G102" s="25"/>
      <c r="H102" s="220"/>
      <c r="I102" s="6">
        <v>31890</v>
      </c>
      <c r="J102" s="6">
        <f t="shared" si="2"/>
        <v>31890</v>
      </c>
      <c r="K102" s="124" t="s">
        <v>281</v>
      </c>
      <c r="L102" s="26"/>
      <c r="M102" s="26"/>
      <c r="N102" s="26"/>
      <c r="O102" s="26"/>
      <c r="P102" s="222"/>
      <c r="Q102" s="222"/>
      <c r="R102" s="222"/>
      <c r="S102" s="222"/>
      <c r="T102" s="222"/>
      <c r="U102" s="138"/>
      <c r="V102" s="220"/>
    </row>
    <row r="103" spans="1:22" ht="14.45" customHeight="1" x14ac:dyDescent="0.25">
      <c r="A103" s="40">
        <v>1</v>
      </c>
      <c r="B103" s="44" t="s">
        <v>82</v>
      </c>
      <c r="C103" s="220"/>
      <c r="D103" s="220"/>
      <c r="E103" s="25" t="s">
        <v>96</v>
      </c>
      <c r="F103" s="214"/>
      <c r="G103" s="25"/>
      <c r="H103" s="220"/>
      <c r="I103" s="6">
        <v>467130</v>
      </c>
      <c r="J103" s="6">
        <f t="shared" si="2"/>
        <v>467130</v>
      </c>
      <c r="K103" s="124" t="s">
        <v>281</v>
      </c>
      <c r="L103" s="26"/>
      <c r="M103" s="26"/>
      <c r="N103" s="26"/>
      <c r="O103" s="26"/>
      <c r="P103" s="222"/>
      <c r="Q103" s="222"/>
      <c r="R103" s="222"/>
      <c r="S103" s="222"/>
      <c r="T103" s="222"/>
      <c r="U103" s="138"/>
      <c r="V103" s="220"/>
    </row>
    <row r="104" spans="1:22" ht="14.45" customHeight="1" x14ac:dyDescent="0.25">
      <c r="A104" s="40">
        <v>1</v>
      </c>
      <c r="B104" s="44" t="s">
        <v>82</v>
      </c>
      <c r="C104" s="220"/>
      <c r="D104" s="220"/>
      <c r="E104" s="25" t="s">
        <v>170</v>
      </c>
      <c r="F104" s="214"/>
      <c r="G104" s="25"/>
      <c r="H104" s="220"/>
      <c r="I104" s="6">
        <v>186210</v>
      </c>
      <c r="J104" s="6">
        <f t="shared" si="2"/>
        <v>186210</v>
      </c>
      <c r="K104" s="124" t="s">
        <v>281</v>
      </c>
      <c r="L104" s="26"/>
      <c r="M104" s="26"/>
      <c r="N104" s="26"/>
      <c r="O104" s="26"/>
      <c r="P104" s="222"/>
      <c r="Q104" s="222"/>
      <c r="R104" s="222"/>
      <c r="S104" s="222"/>
      <c r="T104" s="222"/>
      <c r="U104" s="138"/>
      <c r="V104" s="220"/>
    </row>
    <row r="105" spans="1:22" ht="14.45" customHeight="1" x14ac:dyDescent="0.25">
      <c r="A105" s="40">
        <v>1</v>
      </c>
      <c r="B105" s="44" t="s">
        <v>82</v>
      </c>
      <c r="C105" s="220"/>
      <c r="D105" s="220"/>
      <c r="E105" s="25" t="s">
        <v>171</v>
      </c>
      <c r="F105" s="214"/>
      <c r="G105" s="25"/>
      <c r="H105" s="220"/>
      <c r="I105" s="6">
        <v>132870</v>
      </c>
      <c r="J105" s="6">
        <f t="shared" si="2"/>
        <v>132870</v>
      </c>
      <c r="K105" s="124" t="s">
        <v>281</v>
      </c>
      <c r="L105" s="26"/>
      <c r="M105" s="26"/>
      <c r="N105" s="26"/>
      <c r="O105" s="26"/>
      <c r="P105" s="222"/>
      <c r="Q105" s="222"/>
      <c r="R105" s="222"/>
      <c r="S105" s="222"/>
      <c r="T105" s="222"/>
      <c r="U105" s="138"/>
      <c r="V105" s="220"/>
    </row>
    <row r="106" spans="1:22" ht="14.45" customHeight="1" x14ac:dyDescent="0.25">
      <c r="A106" s="40">
        <v>1</v>
      </c>
      <c r="B106" s="44" t="s">
        <v>82</v>
      </c>
      <c r="C106" s="220"/>
      <c r="D106" s="220"/>
      <c r="E106" s="25" t="s">
        <v>172</v>
      </c>
      <c r="F106" s="214"/>
      <c r="G106" s="25"/>
      <c r="H106" s="220"/>
      <c r="I106" s="6">
        <v>83490</v>
      </c>
      <c r="J106" s="6">
        <f t="shared" si="2"/>
        <v>83490</v>
      </c>
      <c r="K106" s="124" t="s">
        <v>281</v>
      </c>
      <c r="L106" s="26"/>
      <c r="M106" s="26"/>
      <c r="N106" s="26"/>
      <c r="O106" s="26"/>
      <c r="P106" s="222"/>
      <c r="Q106" s="222"/>
      <c r="R106" s="222"/>
      <c r="S106" s="222"/>
      <c r="T106" s="222"/>
      <c r="U106" s="138"/>
      <c r="V106" s="220"/>
    </row>
    <row r="107" spans="1:22" ht="14.45" customHeight="1" x14ac:dyDescent="0.25">
      <c r="A107" s="40">
        <v>1</v>
      </c>
      <c r="B107" s="44" t="s">
        <v>82</v>
      </c>
      <c r="C107" s="220"/>
      <c r="D107" s="220"/>
      <c r="E107" s="25" t="s">
        <v>173</v>
      </c>
      <c r="F107" s="214"/>
      <c r="G107" s="25"/>
      <c r="H107" s="220"/>
      <c r="I107" s="6">
        <v>100320</v>
      </c>
      <c r="J107" s="6">
        <f t="shared" si="2"/>
        <v>100320</v>
      </c>
      <c r="K107" s="124" t="s">
        <v>281</v>
      </c>
      <c r="L107" s="26"/>
      <c r="M107" s="26"/>
      <c r="N107" s="26"/>
      <c r="O107" s="26"/>
      <c r="P107" s="222"/>
      <c r="Q107" s="222"/>
      <c r="R107" s="222"/>
      <c r="S107" s="222"/>
      <c r="T107" s="222"/>
      <c r="U107" s="138"/>
      <c r="V107" s="220"/>
    </row>
    <row r="108" spans="1:22" ht="14.45" customHeight="1" x14ac:dyDescent="0.25">
      <c r="A108" s="40">
        <v>1</v>
      </c>
      <c r="B108" s="44" t="s">
        <v>82</v>
      </c>
      <c r="C108" s="220"/>
      <c r="D108" s="220"/>
      <c r="E108" s="25" t="s">
        <v>174</v>
      </c>
      <c r="F108" s="214"/>
      <c r="G108" s="25"/>
      <c r="H108" s="220"/>
      <c r="I108" s="6">
        <v>27000</v>
      </c>
      <c r="J108" s="6">
        <f t="shared" si="2"/>
        <v>27000</v>
      </c>
      <c r="K108" s="124" t="s">
        <v>281</v>
      </c>
      <c r="L108" s="26"/>
      <c r="M108" s="26"/>
      <c r="N108" s="26"/>
      <c r="O108" s="26"/>
      <c r="P108" s="222"/>
      <c r="Q108" s="222"/>
      <c r="R108" s="222"/>
      <c r="S108" s="222"/>
      <c r="T108" s="222"/>
      <c r="U108" s="138"/>
      <c r="V108" s="220"/>
    </row>
    <row r="109" spans="1:22" ht="14.45" customHeight="1" x14ac:dyDescent="0.25">
      <c r="A109" s="40">
        <v>1</v>
      </c>
      <c r="B109" s="44" t="s">
        <v>82</v>
      </c>
      <c r="C109" s="220"/>
      <c r="D109" s="220"/>
      <c r="E109" s="25" t="s">
        <v>175</v>
      </c>
      <c r="F109" s="214"/>
      <c r="G109" s="25"/>
      <c r="H109" s="220"/>
      <c r="I109" s="6">
        <v>94890</v>
      </c>
      <c r="J109" s="6">
        <f t="shared" si="2"/>
        <v>94890</v>
      </c>
      <c r="K109" s="124" t="s">
        <v>281</v>
      </c>
      <c r="L109" s="26"/>
      <c r="M109" s="26"/>
      <c r="N109" s="26"/>
      <c r="O109" s="26"/>
      <c r="P109" s="222"/>
      <c r="Q109" s="222"/>
      <c r="R109" s="222"/>
      <c r="S109" s="222"/>
      <c r="T109" s="222"/>
      <c r="U109" s="138"/>
      <c r="V109" s="220"/>
    </row>
    <row r="110" spans="1:22" ht="14.45" customHeight="1" x14ac:dyDescent="0.25">
      <c r="A110" s="40">
        <v>1</v>
      </c>
      <c r="B110" s="44" t="s">
        <v>82</v>
      </c>
      <c r="C110" s="220"/>
      <c r="D110" s="220"/>
      <c r="E110" s="25" t="s">
        <v>176</v>
      </c>
      <c r="F110" s="214"/>
      <c r="G110" s="25"/>
      <c r="H110" s="220"/>
      <c r="I110" s="6">
        <v>157830</v>
      </c>
      <c r="J110" s="6">
        <f t="shared" si="2"/>
        <v>157830</v>
      </c>
      <c r="K110" s="124" t="s">
        <v>281</v>
      </c>
      <c r="L110" s="26"/>
      <c r="M110" s="26"/>
      <c r="N110" s="26"/>
      <c r="O110" s="26"/>
      <c r="P110" s="222"/>
      <c r="Q110" s="222"/>
      <c r="R110" s="222"/>
      <c r="S110" s="222"/>
      <c r="T110" s="222"/>
      <c r="U110" s="138"/>
      <c r="V110" s="220"/>
    </row>
    <row r="111" spans="1:22" ht="14.45" customHeight="1" x14ac:dyDescent="0.25">
      <c r="A111" s="40">
        <v>1</v>
      </c>
      <c r="B111" s="44" t="s">
        <v>82</v>
      </c>
      <c r="C111" s="220"/>
      <c r="D111" s="220"/>
      <c r="E111" s="25" t="s">
        <v>177</v>
      </c>
      <c r="F111" s="214"/>
      <c r="G111" s="25"/>
      <c r="H111" s="220"/>
      <c r="I111" s="6">
        <v>44970</v>
      </c>
      <c r="J111" s="6">
        <f t="shared" si="2"/>
        <v>44970</v>
      </c>
      <c r="K111" s="124" t="s">
        <v>281</v>
      </c>
      <c r="L111" s="26"/>
      <c r="M111" s="26"/>
      <c r="N111" s="26"/>
      <c r="O111" s="26"/>
      <c r="P111" s="222"/>
      <c r="Q111" s="222"/>
      <c r="R111" s="222"/>
      <c r="S111" s="222"/>
      <c r="T111" s="222"/>
      <c r="U111" s="138"/>
      <c r="V111" s="220"/>
    </row>
    <row r="112" spans="1:22" ht="14.45" customHeight="1" x14ac:dyDescent="0.25">
      <c r="A112" s="40">
        <v>1</v>
      </c>
      <c r="B112" s="44" t="s">
        <v>82</v>
      </c>
      <c r="C112" s="220"/>
      <c r="D112" s="220"/>
      <c r="E112" s="25" t="s">
        <v>178</v>
      </c>
      <c r="F112" s="214"/>
      <c r="G112" s="25"/>
      <c r="H112" s="220"/>
      <c r="I112" s="6">
        <v>83970</v>
      </c>
      <c r="J112" s="6">
        <f t="shared" si="2"/>
        <v>83970</v>
      </c>
      <c r="K112" s="124" t="s">
        <v>281</v>
      </c>
      <c r="L112" s="26"/>
      <c r="M112" s="26"/>
      <c r="N112" s="26"/>
      <c r="O112" s="26"/>
      <c r="P112" s="222"/>
      <c r="Q112" s="222"/>
      <c r="R112" s="222"/>
      <c r="S112" s="222"/>
      <c r="T112" s="222"/>
      <c r="U112" s="138"/>
      <c r="V112" s="220"/>
    </row>
    <row r="113" spans="1:22" ht="14.45" customHeight="1" x14ac:dyDescent="0.25">
      <c r="A113" s="40">
        <v>1</v>
      </c>
      <c r="B113" s="44" t="s">
        <v>82</v>
      </c>
      <c r="C113" s="220"/>
      <c r="D113" s="220"/>
      <c r="E113" s="25" t="s">
        <v>97</v>
      </c>
      <c r="F113" s="215"/>
      <c r="G113" s="25"/>
      <c r="H113" s="220"/>
      <c r="I113" s="6">
        <v>210240</v>
      </c>
      <c r="J113" s="6">
        <f t="shared" si="2"/>
        <v>210240</v>
      </c>
      <c r="K113" s="124" t="s">
        <v>281</v>
      </c>
      <c r="L113" s="26"/>
      <c r="M113" s="26"/>
      <c r="N113" s="26"/>
      <c r="O113" s="26"/>
      <c r="P113" s="222"/>
      <c r="Q113" s="222"/>
      <c r="R113" s="222"/>
      <c r="S113" s="222"/>
      <c r="T113" s="222"/>
      <c r="U113" s="138"/>
      <c r="V113" s="220"/>
    </row>
    <row r="114" spans="1:22" ht="14.45" customHeight="1" x14ac:dyDescent="0.25">
      <c r="A114" s="40">
        <v>1</v>
      </c>
      <c r="B114" s="44" t="s">
        <v>82</v>
      </c>
      <c r="C114" s="220" t="s">
        <v>185</v>
      </c>
      <c r="D114" s="25" t="s">
        <v>186</v>
      </c>
      <c r="E114" s="25" t="s">
        <v>67</v>
      </c>
      <c r="F114" s="25">
        <v>4</v>
      </c>
      <c r="G114" s="25"/>
      <c r="H114" s="220" t="s">
        <v>106</v>
      </c>
      <c r="I114" s="6">
        <v>11980</v>
      </c>
      <c r="J114" s="6">
        <f t="shared" ref="J114:J115" si="3">I114</f>
        <v>11980</v>
      </c>
      <c r="K114" s="124" t="s">
        <v>22</v>
      </c>
      <c r="L114" s="26"/>
      <c r="M114" s="26"/>
      <c r="N114" s="26"/>
      <c r="O114" s="26"/>
      <c r="P114" s="222" t="s">
        <v>188</v>
      </c>
      <c r="Q114" s="222" t="s">
        <v>189</v>
      </c>
      <c r="R114" s="222" t="s">
        <v>106</v>
      </c>
      <c r="S114" s="222" t="s">
        <v>115</v>
      </c>
      <c r="T114" s="222" t="s">
        <v>190</v>
      </c>
      <c r="U114" s="222"/>
      <c r="V114" s="222" t="s">
        <v>191</v>
      </c>
    </row>
    <row r="115" spans="1:22" ht="28.9" customHeight="1" x14ac:dyDescent="0.25">
      <c r="A115" s="40">
        <v>1</v>
      </c>
      <c r="B115" s="44" t="s">
        <v>82</v>
      </c>
      <c r="C115" s="220"/>
      <c r="D115" s="25" t="s">
        <v>187</v>
      </c>
      <c r="E115" s="25" t="s">
        <v>102</v>
      </c>
      <c r="F115" s="25">
        <v>4</v>
      </c>
      <c r="G115" s="25"/>
      <c r="H115" s="220"/>
      <c r="I115" s="6">
        <v>23960</v>
      </c>
      <c r="J115" s="6">
        <f t="shared" si="3"/>
        <v>23960</v>
      </c>
      <c r="K115" s="124" t="s">
        <v>22</v>
      </c>
      <c r="L115" s="26"/>
      <c r="M115" s="26"/>
      <c r="N115" s="26"/>
      <c r="O115" s="26"/>
      <c r="P115" s="222"/>
      <c r="Q115" s="222"/>
      <c r="R115" s="222"/>
      <c r="S115" s="222"/>
      <c r="T115" s="222"/>
      <c r="U115" s="222"/>
      <c r="V115" s="222"/>
    </row>
    <row r="116" spans="1:22" ht="14.45" customHeight="1" x14ac:dyDescent="0.25">
      <c r="A116" s="40">
        <v>1</v>
      </c>
      <c r="B116" s="1" t="s">
        <v>192</v>
      </c>
      <c r="C116" s="220" t="s">
        <v>200</v>
      </c>
      <c r="D116" s="220" t="s">
        <v>201</v>
      </c>
      <c r="E116" s="25" t="s">
        <v>193</v>
      </c>
      <c r="F116" s="25">
        <v>1</v>
      </c>
      <c r="G116" s="25"/>
      <c r="H116" s="220" t="s">
        <v>202</v>
      </c>
      <c r="I116" s="220" t="s">
        <v>203</v>
      </c>
      <c r="J116" s="228">
        <v>48800</v>
      </c>
      <c r="K116" s="229" t="s">
        <v>607</v>
      </c>
      <c r="L116" s="220"/>
      <c r="M116" s="220"/>
      <c r="N116" s="220"/>
      <c r="O116" s="220"/>
      <c r="P116" s="221">
        <v>41275</v>
      </c>
      <c r="Q116" s="221">
        <v>45627</v>
      </c>
      <c r="R116" s="220" t="s">
        <v>202</v>
      </c>
      <c r="S116" s="220" t="s">
        <v>204</v>
      </c>
      <c r="T116" s="220" t="s">
        <v>205</v>
      </c>
      <c r="U116" s="220"/>
      <c r="V116" s="220" t="s">
        <v>206</v>
      </c>
    </row>
    <row r="117" spans="1:22" ht="14.45" customHeight="1" x14ac:dyDescent="0.25">
      <c r="A117" s="40">
        <v>1</v>
      </c>
      <c r="B117" s="1" t="s">
        <v>192</v>
      </c>
      <c r="C117" s="220"/>
      <c r="D117" s="220"/>
      <c r="E117" s="25" t="s">
        <v>194</v>
      </c>
      <c r="F117" s="25">
        <v>1</v>
      </c>
      <c r="G117" s="25"/>
      <c r="H117" s="220"/>
      <c r="I117" s="220"/>
      <c r="J117" s="228"/>
      <c r="K117" s="220"/>
      <c r="L117" s="220"/>
      <c r="M117" s="220"/>
      <c r="N117" s="220"/>
      <c r="O117" s="220"/>
      <c r="P117" s="221"/>
      <c r="Q117" s="221"/>
      <c r="R117" s="220"/>
      <c r="S117" s="220"/>
      <c r="T117" s="220"/>
      <c r="U117" s="220"/>
      <c r="V117" s="220"/>
    </row>
    <row r="118" spans="1:22" ht="14.45" customHeight="1" x14ac:dyDescent="0.25">
      <c r="A118" s="40">
        <v>1</v>
      </c>
      <c r="B118" s="1" t="s">
        <v>192</v>
      </c>
      <c r="C118" s="220"/>
      <c r="D118" s="220"/>
      <c r="E118" s="25" t="s">
        <v>99</v>
      </c>
      <c r="F118" s="25">
        <v>3</v>
      </c>
      <c r="G118" s="25"/>
      <c r="H118" s="220"/>
      <c r="I118" s="220"/>
      <c r="J118" s="228"/>
      <c r="K118" s="220"/>
      <c r="L118" s="220"/>
      <c r="M118" s="220"/>
      <c r="N118" s="220"/>
      <c r="O118" s="220"/>
      <c r="P118" s="221"/>
      <c r="Q118" s="221"/>
      <c r="R118" s="220"/>
      <c r="S118" s="220"/>
      <c r="T118" s="220"/>
      <c r="U118" s="220"/>
      <c r="V118" s="220"/>
    </row>
    <row r="119" spans="1:22" ht="14.45" customHeight="1" x14ac:dyDescent="0.25">
      <c r="A119" s="40">
        <v>1</v>
      </c>
      <c r="B119" s="1" t="s">
        <v>192</v>
      </c>
      <c r="C119" s="220"/>
      <c r="D119" s="220"/>
      <c r="E119" s="25" t="s">
        <v>195</v>
      </c>
      <c r="F119" s="25">
        <v>3</v>
      </c>
      <c r="G119" s="25"/>
      <c r="H119" s="220"/>
      <c r="I119" s="220"/>
      <c r="J119" s="228"/>
      <c r="K119" s="220"/>
      <c r="L119" s="220"/>
      <c r="M119" s="220"/>
      <c r="N119" s="220"/>
      <c r="O119" s="220"/>
      <c r="P119" s="221"/>
      <c r="Q119" s="221"/>
      <c r="R119" s="220"/>
      <c r="S119" s="220"/>
      <c r="T119" s="220"/>
      <c r="U119" s="220"/>
      <c r="V119" s="220"/>
    </row>
    <row r="120" spans="1:22" ht="14.45" customHeight="1" x14ac:dyDescent="0.25">
      <c r="A120" s="40">
        <v>1</v>
      </c>
      <c r="B120" s="1" t="s">
        <v>192</v>
      </c>
      <c r="C120" s="220"/>
      <c r="D120" s="220"/>
      <c r="E120" s="25" t="s">
        <v>196</v>
      </c>
      <c r="F120" s="25">
        <v>3</v>
      </c>
      <c r="G120" s="25"/>
      <c r="H120" s="220"/>
      <c r="I120" s="220"/>
      <c r="J120" s="228"/>
      <c r="K120" s="220"/>
      <c r="L120" s="220"/>
      <c r="M120" s="220"/>
      <c r="N120" s="220"/>
      <c r="O120" s="220"/>
      <c r="P120" s="221"/>
      <c r="Q120" s="221"/>
      <c r="R120" s="220"/>
      <c r="S120" s="220"/>
      <c r="T120" s="220"/>
      <c r="U120" s="220"/>
      <c r="V120" s="220"/>
    </row>
    <row r="121" spans="1:22" ht="14.45" customHeight="1" x14ac:dyDescent="0.25">
      <c r="A121" s="40">
        <v>1</v>
      </c>
      <c r="B121" s="1" t="s">
        <v>192</v>
      </c>
      <c r="C121" s="220"/>
      <c r="D121" s="220"/>
      <c r="E121" s="25" t="s">
        <v>103</v>
      </c>
      <c r="F121" s="25">
        <v>4</v>
      </c>
      <c r="G121" s="25"/>
      <c r="H121" s="220"/>
      <c r="I121" s="220"/>
      <c r="J121" s="228"/>
      <c r="K121" s="220"/>
      <c r="L121" s="220"/>
      <c r="M121" s="220"/>
      <c r="N121" s="220"/>
      <c r="O121" s="220"/>
      <c r="P121" s="221"/>
      <c r="Q121" s="221"/>
      <c r="R121" s="220"/>
      <c r="S121" s="220"/>
      <c r="T121" s="220"/>
      <c r="U121" s="220"/>
      <c r="V121" s="220"/>
    </row>
    <row r="122" spans="1:22" ht="14.45" customHeight="1" x14ac:dyDescent="0.25">
      <c r="A122" s="40">
        <v>1</v>
      </c>
      <c r="B122" s="1" t="s">
        <v>192</v>
      </c>
      <c r="C122" s="220"/>
      <c r="D122" s="220"/>
      <c r="E122" s="25" t="s">
        <v>197</v>
      </c>
      <c r="F122" s="25">
        <v>4</v>
      </c>
      <c r="G122" s="25"/>
      <c r="H122" s="220"/>
      <c r="I122" s="220"/>
      <c r="J122" s="228"/>
      <c r="K122" s="220"/>
      <c r="L122" s="220"/>
      <c r="M122" s="220"/>
      <c r="N122" s="220"/>
      <c r="O122" s="220"/>
      <c r="P122" s="221"/>
      <c r="Q122" s="221"/>
      <c r="R122" s="220"/>
      <c r="S122" s="220"/>
      <c r="T122" s="220"/>
      <c r="U122" s="220"/>
      <c r="V122" s="220"/>
    </row>
    <row r="123" spans="1:22" ht="14.45" customHeight="1" x14ac:dyDescent="0.25">
      <c r="A123" s="40">
        <v>1</v>
      </c>
      <c r="B123" s="1" t="s">
        <v>192</v>
      </c>
      <c r="C123" s="220"/>
      <c r="D123" s="220"/>
      <c r="E123" s="25" t="s">
        <v>198</v>
      </c>
      <c r="F123" s="25">
        <v>4</v>
      </c>
      <c r="G123" s="25"/>
      <c r="H123" s="220"/>
      <c r="I123" s="220"/>
      <c r="J123" s="228"/>
      <c r="K123" s="220"/>
      <c r="L123" s="220"/>
      <c r="M123" s="220"/>
      <c r="N123" s="220"/>
      <c r="O123" s="220"/>
      <c r="P123" s="221"/>
      <c r="Q123" s="221"/>
      <c r="R123" s="220"/>
      <c r="S123" s="220"/>
      <c r="T123" s="220"/>
      <c r="U123" s="220"/>
      <c r="V123" s="220"/>
    </row>
    <row r="124" spans="1:22" ht="14.45" customHeight="1" x14ac:dyDescent="0.25">
      <c r="A124" s="40">
        <v>1</v>
      </c>
      <c r="B124" s="1" t="s">
        <v>192</v>
      </c>
      <c r="C124" s="220"/>
      <c r="D124" s="220"/>
      <c r="E124" s="25" t="s">
        <v>199</v>
      </c>
      <c r="F124" s="25">
        <v>5</v>
      </c>
      <c r="G124" s="25"/>
      <c r="H124" s="220"/>
      <c r="I124" s="220"/>
      <c r="J124" s="228"/>
      <c r="K124" s="220"/>
      <c r="L124" s="220"/>
      <c r="M124" s="220"/>
      <c r="N124" s="220"/>
      <c r="O124" s="220"/>
      <c r="P124" s="221"/>
      <c r="Q124" s="221"/>
      <c r="R124" s="220"/>
      <c r="S124" s="220"/>
      <c r="T124" s="220"/>
      <c r="U124" s="220"/>
      <c r="V124" s="220"/>
    </row>
    <row r="125" spans="1:22" ht="120" x14ac:dyDescent="0.25">
      <c r="A125" s="40">
        <v>5</v>
      </c>
      <c r="B125" s="44" t="s">
        <v>207</v>
      </c>
      <c r="C125" s="106" t="s">
        <v>208</v>
      </c>
      <c r="D125" s="40" t="s">
        <v>209</v>
      </c>
      <c r="E125" s="52" t="s">
        <v>67</v>
      </c>
      <c r="F125" s="52">
        <v>4</v>
      </c>
      <c r="G125" s="52"/>
      <c r="H125" s="52" t="s">
        <v>210</v>
      </c>
      <c r="I125" s="107">
        <v>6900000</v>
      </c>
      <c r="J125" s="107"/>
      <c r="K125" s="52"/>
      <c r="L125" s="55"/>
      <c r="M125" s="55"/>
      <c r="N125" s="108">
        <v>6900000</v>
      </c>
      <c r="O125" s="106" t="s">
        <v>212</v>
      </c>
      <c r="P125" s="67" t="s">
        <v>189</v>
      </c>
      <c r="Q125" s="67" t="s">
        <v>211</v>
      </c>
      <c r="R125" s="25" t="s">
        <v>207</v>
      </c>
      <c r="S125" s="25" t="s">
        <v>626</v>
      </c>
      <c r="T125" s="25" t="s">
        <v>213</v>
      </c>
      <c r="U125" s="138" t="s">
        <v>214</v>
      </c>
      <c r="V125" s="138" t="s">
        <v>215</v>
      </c>
    </row>
    <row r="126" spans="1:22" ht="60" x14ac:dyDescent="0.25">
      <c r="A126" s="40">
        <v>1</v>
      </c>
      <c r="B126" s="44" t="s">
        <v>207</v>
      </c>
      <c r="C126" s="25" t="s">
        <v>478</v>
      </c>
      <c r="D126" s="25" t="s">
        <v>497</v>
      </c>
      <c r="E126" s="25" t="s">
        <v>483</v>
      </c>
      <c r="F126" s="25" t="s">
        <v>484</v>
      </c>
      <c r="G126" s="25"/>
      <c r="H126" s="25" t="s">
        <v>480</v>
      </c>
      <c r="I126" s="6">
        <v>1900000</v>
      </c>
      <c r="J126" s="6"/>
      <c r="K126" s="2"/>
      <c r="L126" s="6">
        <v>1900000</v>
      </c>
      <c r="M126" s="25" t="s">
        <v>481</v>
      </c>
      <c r="N126" s="26"/>
      <c r="O126" s="26"/>
      <c r="P126" s="67" t="s">
        <v>222</v>
      </c>
      <c r="Q126" s="67" t="s">
        <v>482</v>
      </c>
      <c r="R126" s="25" t="s">
        <v>481</v>
      </c>
      <c r="S126" s="25" t="s">
        <v>491</v>
      </c>
      <c r="T126" s="25" t="s">
        <v>498</v>
      </c>
      <c r="U126" s="138"/>
      <c r="V126" s="138"/>
    </row>
    <row r="127" spans="1:22" s="51" customFormat="1" ht="60" x14ac:dyDescent="0.25">
      <c r="A127" s="46">
        <v>2</v>
      </c>
      <c r="B127" s="47" t="s">
        <v>564</v>
      </c>
      <c r="C127" s="48" t="s">
        <v>551</v>
      </c>
      <c r="D127" s="56" t="s">
        <v>495</v>
      </c>
      <c r="E127" s="56" t="s">
        <v>483</v>
      </c>
      <c r="F127" s="56" t="s">
        <v>484</v>
      </c>
      <c r="G127" s="56"/>
      <c r="H127" s="56" t="s">
        <v>480</v>
      </c>
      <c r="I127" s="49">
        <v>3180000</v>
      </c>
      <c r="J127" s="49"/>
      <c r="K127" s="56"/>
      <c r="L127" s="49">
        <v>3180000</v>
      </c>
      <c r="M127" s="56" t="s">
        <v>481</v>
      </c>
      <c r="N127" s="75"/>
      <c r="O127" s="75"/>
      <c r="P127" s="76" t="s">
        <v>222</v>
      </c>
      <c r="Q127" s="76" t="s">
        <v>482</v>
      </c>
      <c r="R127" s="56" t="s">
        <v>481</v>
      </c>
      <c r="S127" s="56" t="s">
        <v>491</v>
      </c>
      <c r="T127" s="56" t="s">
        <v>496</v>
      </c>
      <c r="U127" s="140"/>
      <c r="V127" s="140"/>
    </row>
    <row r="128" spans="1:22" s="12" customFormat="1" ht="105" x14ac:dyDescent="0.25">
      <c r="A128" s="52">
        <v>3</v>
      </c>
      <c r="B128" s="53" t="s">
        <v>223</v>
      </c>
      <c r="C128" s="25" t="s">
        <v>216</v>
      </c>
      <c r="D128" s="25" t="s">
        <v>217</v>
      </c>
      <c r="E128" s="25" t="s">
        <v>218</v>
      </c>
      <c r="F128" s="2">
        <v>0</v>
      </c>
      <c r="G128" s="25"/>
      <c r="H128" s="25" t="s">
        <v>219</v>
      </c>
      <c r="I128" s="6"/>
      <c r="J128" s="6">
        <v>11058302</v>
      </c>
      <c r="K128" s="25" t="s">
        <v>220</v>
      </c>
      <c r="L128" s="25"/>
      <c r="M128" s="25"/>
      <c r="N128" s="25"/>
      <c r="O128" s="25"/>
      <c r="P128" s="67" t="s">
        <v>221</v>
      </c>
      <c r="Q128" s="67" t="s">
        <v>222</v>
      </c>
      <c r="R128" s="25" t="s">
        <v>223</v>
      </c>
      <c r="S128" s="25" t="s">
        <v>204</v>
      </c>
      <c r="T128" s="25" t="s">
        <v>224</v>
      </c>
      <c r="U128" s="138"/>
      <c r="V128" s="138"/>
    </row>
    <row r="129" spans="1:22" ht="45" x14ac:dyDescent="0.25">
      <c r="A129" s="52">
        <v>3</v>
      </c>
      <c r="B129" s="53" t="s">
        <v>223</v>
      </c>
      <c r="C129" s="72" t="s">
        <v>225</v>
      </c>
      <c r="D129" s="72"/>
      <c r="E129" s="25" t="s">
        <v>218</v>
      </c>
      <c r="F129" s="25">
        <v>0</v>
      </c>
      <c r="G129" s="25"/>
      <c r="H129" s="25" t="s">
        <v>219</v>
      </c>
      <c r="I129" s="6"/>
      <c r="J129" s="6">
        <v>200000</v>
      </c>
      <c r="K129" s="2" t="s">
        <v>552</v>
      </c>
      <c r="L129" s="26"/>
      <c r="M129" s="26"/>
      <c r="N129" s="26"/>
      <c r="O129" s="26"/>
      <c r="P129" s="67"/>
      <c r="Q129" s="67"/>
      <c r="R129" s="25" t="s">
        <v>223</v>
      </c>
      <c r="S129" s="25" t="s">
        <v>204</v>
      </c>
      <c r="T129" s="25"/>
      <c r="U129" s="138"/>
      <c r="V129" s="138"/>
    </row>
    <row r="130" spans="1:22" ht="180" x14ac:dyDescent="0.25">
      <c r="A130" s="52">
        <v>3</v>
      </c>
      <c r="B130" s="53" t="s">
        <v>223</v>
      </c>
      <c r="C130" s="2" t="s">
        <v>226</v>
      </c>
      <c r="D130" s="25" t="s">
        <v>227</v>
      </c>
      <c r="E130" s="2" t="s">
        <v>228</v>
      </c>
      <c r="F130" s="2" t="s">
        <v>590</v>
      </c>
      <c r="G130" s="25"/>
      <c r="H130" s="25" t="s">
        <v>219</v>
      </c>
      <c r="I130" s="6"/>
      <c r="J130" s="6">
        <v>2354545</v>
      </c>
      <c r="K130" s="2" t="s">
        <v>615</v>
      </c>
      <c r="L130" s="26"/>
      <c r="M130" s="26"/>
      <c r="N130" s="26"/>
      <c r="O130" s="26"/>
      <c r="P130" s="67"/>
      <c r="Q130" s="67"/>
      <c r="R130" s="25" t="s">
        <v>223</v>
      </c>
      <c r="S130" s="25" t="s">
        <v>204</v>
      </c>
      <c r="T130" s="25"/>
      <c r="U130" s="138"/>
      <c r="V130" s="138"/>
    </row>
    <row r="131" spans="1:22" ht="45" x14ac:dyDescent="0.25">
      <c r="A131" s="52">
        <v>3</v>
      </c>
      <c r="B131" s="53" t="s">
        <v>223</v>
      </c>
      <c r="C131" s="2" t="s">
        <v>230</v>
      </c>
      <c r="D131" s="25" t="s">
        <v>231</v>
      </c>
      <c r="E131" s="25"/>
      <c r="F131" s="25">
        <v>0</v>
      </c>
      <c r="G131" s="25"/>
      <c r="H131" s="25" t="s">
        <v>219</v>
      </c>
      <c r="I131" s="6"/>
      <c r="J131" s="6">
        <v>900000</v>
      </c>
      <c r="K131" s="2" t="s">
        <v>616</v>
      </c>
      <c r="L131" s="26"/>
      <c r="M131" s="26"/>
      <c r="N131" s="26"/>
      <c r="O131" s="26"/>
      <c r="P131" s="67"/>
      <c r="Q131" s="67"/>
      <c r="R131" s="25" t="s">
        <v>229</v>
      </c>
      <c r="S131" s="121" t="s">
        <v>204</v>
      </c>
      <c r="T131" s="25"/>
      <c r="U131" s="138"/>
      <c r="V131" s="138"/>
    </row>
    <row r="132" spans="1:22" ht="60" x14ac:dyDescent="0.25">
      <c r="A132" s="52">
        <v>3</v>
      </c>
      <c r="B132" s="53" t="s">
        <v>223</v>
      </c>
      <c r="C132" s="2" t="s">
        <v>232</v>
      </c>
      <c r="D132" s="114" t="s">
        <v>233</v>
      </c>
      <c r="E132" s="25"/>
      <c r="F132" s="25">
        <v>0</v>
      </c>
      <c r="G132" s="25"/>
      <c r="H132" s="25" t="s">
        <v>219</v>
      </c>
      <c r="I132" s="6"/>
      <c r="J132" s="6">
        <v>20000000</v>
      </c>
      <c r="K132" s="2" t="s">
        <v>610</v>
      </c>
      <c r="L132" s="26"/>
      <c r="M132" s="26"/>
      <c r="N132" s="26"/>
      <c r="O132" s="26"/>
      <c r="P132" s="67"/>
      <c r="Q132" s="67"/>
      <c r="R132" s="25" t="s">
        <v>229</v>
      </c>
      <c r="S132" s="121" t="s">
        <v>204</v>
      </c>
      <c r="T132" s="25"/>
      <c r="U132" s="138"/>
      <c r="V132" s="138"/>
    </row>
    <row r="133" spans="1:22" ht="171" customHeight="1" x14ac:dyDescent="0.25">
      <c r="A133" s="52">
        <v>3</v>
      </c>
      <c r="B133" s="53" t="s">
        <v>223</v>
      </c>
      <c r="C133" s="142" t="s">
        <v>234</v>
      </c>
      <c r="D133" s="25" t="s">
        <v>236</v>
      </c>
      <c r="E133" s="25" t="s">
        <v>237</v>
      </c>
      <c r="F133" s="2" t="s">
        <v>591</v>
      </c>
      <c r="G133" s="25"/>
      <c r="H133" s="25" t="s">
        <v>219</v>
      </c>
      <c r="I133" s="6"/>
      <c r="J133" s="6"/>
      <c r="K133" s="25"/>
      <c r="L133" s="131">
        <v>180000000</v>
      </c>
      <c r="M133" s="139" t="s">
        <v>645</v>
      </c>
      <c r="N133" s="131"/>
      <c r="O133" s="133"/>
      <c r="P133" s="134" t="s">
        <v>189</v>
      </c>
      <c r="Q133" s="135" t="s">
        <v>482</v>
      </c>
      <c r="R133" s="132"/>
      <c r="S133" s="25" t="s">
        <v>627</v>
      </c>
      <c r="T133" s="25"/>
      <c r="U133" s="138"/>
      <c r="V133" s="138"/>
    </row>
    <row r="134" spans="1:22" ht="105" x14ac:dyDescent="0.25">
      <c r="A134" s="52">
        <v>3</v>
      </c>
      <c r="B134" s="53" t="s">
        <v>223</v>
      </c>
      <c r="C134" s="2" t="s">
        <v>235</v>
      </c>
      <c r="D134" s="25" t="s">
        <v>238</v>
      </c>
      <c r="E134" s="25" t="s">
        <v>239</v>
      </c>
      <c r="F134" s="25">
        <v>0</v>
      </c>
      <c r="G134" s="25"/>
      <c r="H134" s="25" t="s">
        <v>219</v>
      </c>
      <c r="I134" s="6"/>
      <c r="J134" s="6">
        <v>500000</v>
      </c>
      <c r="K134" s="2" t="s">
        <v>618</v>
      </c>
      <c r="L134" s="26"/>
      <c r="M134" s="26"/>
      <c r="N134" s="26"/>
      <c r="O134" s="26"/>
      <c r="P134" s="15" t="s">
        <v>188</v>
      </c>
      <c r="Q134" s="15" t="s">
        <v>222</v>
      </c>
      <c r="R134" s="25"/>
      <c r="S134" s="25" t="s">
        <v>204</v>
      </c>
      <c r="T134" s="25" t="s">
        <v>240</v>
      </c>
      <c r="U134" s="138"/>
      <c r="V134" s="138"/>
    </row>
    <row r="135" spans="1:22" ht="120" x14ac:dyDescent="0.25">
      <c r="A135" s="52">
        <v>3</v>
      </c>
      <c r="B135" s="1" t="s">
        <v>564</v>
      </c>
      <c r="C135" s="25" t="s">
        <v>478</v>
      </c>
      <c r="D135" s="25" t="s">
        <v>492</v>
      </c>
      <c r="E135" s="25" t="s">
        <v>483</v>
      </c>
      <c r="F135" s="2" t="s">
        <v>592</v>
      </c>
      <c r="G135" s="25"/>
      <c r="H135" s="25" t="s">
        <v>480</v>
      </c>
      <c r="J135" s="6"/>
      <c r="K135" s="2"/>
      <c r="L135" s="6">
        <v>6470000</v>
      </c>
      <c r="M135" s="25" t="s">
        <v>481</v>
      </c>
      <c r="N135" s="26"/>
      <c r="O135" s="26"/>
      <c r="P135" s="67" t="s">
        <v>222</v>
      </c>
      <c r="Q135" s="67" t="s">
        <v>482</v>
      </c>
      <c r="R135" s="25" t="s">
        <v>481</v>
      </c>
      <c r="S135" s="25" t="s">
        <v>491</v>
      </c>
      <c r="T135" s="25" t="s">
        <v>492</v>
      </c>
      <c r="U135" s="138"/>
      <c r="V135" s="138"/>
    </row>
    <row r="136" spans="1:22" s="51" customFormat="1" ht="45" x14ac:dyDescent="0.25">
      <c r="A136" s="56">
        <v>4</v>
      </c>
      <c r="B136" s="57" t="s">
        <v>241</v>
      </c>
      <c r="C136" s="58" t="s">
        <v>242</v>
      </c>
      <c r="D136" s="56" t="s">
        <v>244</v>
      </c>
      <c r="E136" s="56" t="s">
        <v>99</v>
      </c>
      <c r="F136" s="56">
        <v>2</v>
      </c>
      <c r="G136" s="56"/>
      <c r="H136" s="56" t="s">
        <v>241</v>
      </c>
      <c r="I136" s="49">
        <v>5777457.5199999996</v>
      </c>
      <c r="J136" s="49"/>
      <c r="K136" s="56"/>
      <c r="L136" s="75"/>
      <c r="M136" s="75"/>
      <c r="N136" s="111">
        <f>I136</f>
        <v>5777457.5199999996</v>
      </c>
      <c r="O136" s="56" t="s">
        <v>248</v>
      </c>
      <c r="P136" s="76" t="s">
        <v>245</v>
      </c>
      <c r="Q136" s="76" t="s">
        <v>249</v>
      </c>
      <c r="R136" s="76" t="s">
        <v>246</v>
      </c>
      <c r="S136" s="216" t="s">
        <v>247</v>
      </c>
      <c r="T136" s="56" t="s">
        <v>251</v>
      </c>
      <c r="U136" s="140"/>
      <c r="V136" s="216" t="s">
        <v>253</v>
      </c>
    </row>
    <row r="137" spans="1:22" s="51" customFormat="1" ht="45" x14ac:dyDescent="0.25">
      <c r="A137" s="56">
        <v>4</v>
      </c>
      <c r="B137" s="57" t="s">
        <v>241</v>
      </c>
      <c r="C137" s="58" t="s">
        <v>243</v>
      </c>
      <c r="D137" s="56" t="s">
        <v>244</v>
      </c>
      <c r="E137" s="56" t="s">
        <v>102</v>
      </c>
      <c r="F137" s="56">
        <v>4</v>
      </c>
      <c r="G137" s="56"/>
      <c r="H137" s="56" t="s">
        <v>241</v>
      </c>
      <c r="I137" s="49">
        <v>999795</v>
      </c>
      <c r="J137" s="49"/>
      <c r="K137" s="56"/>
      <c r="L137" s="75"/>
      <c r="M137" s="75"/>
      <c r="N137" s="111">
        <f>I137</f>
        <v>999795</v>
      </c>
      <c r="O137" s="56" t="s">
        <v>248</v>
      </c>
      <c r="P137" s="76" t="s">
        <v>245</v>
      </c>
      <c r="Q137" s="76" t="s">
        <v>250</v>
      </c>
      <c r="R137" s="76" t="s">
        <v>246</v>
      </c>
      <c r="S137" s="216"/>
      <c r="T137" s="56" t="s">
        <v>252</v>
      </c>
      <c r="U137" s="140"/>
      <c r="V137" s="216"/>
    </row>
    <row r="138" spans="1:22" s="51" customFormat="1" ht="45" x14ac:dyDescent="0.25">
      <c r="A138" s="59">
        <v>4</v>
      </c>
      <c r="B138" s="57" t="s">
        <v>241</v>
      </c>
      <c r="C138" s="56" t="s">
        <v>254</v>
      </c>
      <c r="D138" s="56" t="s">
        <v>255</v>
      </c>
      <c r="E138" s="56" t="s">
        <v>256</v>
      </c>
      <c r="F138" s="56">
        <v>2</v>
      </c>
      <c r="G138" s="56"/>
      <c r="H138" s="56" t="s">
        <v>241</v>
      </c>
      <c r="I138" s="60">
        <v>5290957</v>
      </c>
      <c r="J138" s="60">
        <v>5290957</v>
      </c>
      <c r="K138" s="48" t="s">
        <v>448</v>
      </c>
      <c r="L138" s="77"/>
      <c r="M138" s="76"/>
      <c r="N138" s="61"/>
      <c r="O138" s="56"/>
      <c r="P138" s="76" t="s">
        <v>257</v>
      </c>
      <c r="Q138" s="76" t="s">
        <v>245</v>
      </c>
      <c r="R138" s="217" t="s">
        <v>258</v>
      </c>
      <c r="S138" s="56" t="s">
        <v>259</v>
      </c>
      <c r="T138" s="218" t="s">
        <v>628</v>
      </c>
      <c r="U138" s="140"/>
      <c r="V138" s="140"/>
    </row>
    <row r="139" spans="1:22" s="51" customFormat="1" ht="30" x14ac:dyDescent="0.25">
      <c r="A139" s="59">
        <v>4</v>
      </c>
      <c r="B139" s="57" t="s">
        <v>241</v>
      </c>
      <c r="C139" s="56" t="s">
        <v>260</v>
      </c>
      <c r="D139" s="56" t="s">
        <v>255</v>
      </c>
      <c r="E139" s="56" t="s">
        <v>261</v>
      </c>
      <c r="F139" s="56">
        <v>2</v>
      </c>
      <c r="G139" s="56"/>
      <c r="H139" s="56" t="s">
        <v>241</v>
      </c>
      <c r="I139" s="60">
        <v>8063651.9199999999</v>
      </c>
      <c r="J139" s="60">
        <v>8063651.9199999999</v>
      </c>
      <c r="K139" s="48" t="s">
        <v>448</v>
      </c>
      <c r="L139" s="77"/>
      <c r="M139" s="76"/>
      <c r="N139" s="61"/>
      <c r="O139" s="56"/>
      <c r="P139" s="76" t="s">
        <v>262</v>
      </c>
      <c r="Q139" s="76" t="s">
        <v>263</v>
      </c>
      <c r="R139" s="217"/>
      <c r="S139" s="56" t="s">
        <v>264</v>
      </c>
      <c r="T139" s="218"/>
      <c r="U139" s="140"/>
      <c r="V139" s="140"/>
    </row>
    <row r="140" spans="1:22" s="51" customFormat="1" ht="45" x14ac:dyDescent="0.25">
      <c r="A140" s="59">
        <v>4</v>
      </c>
      <c r="B140" s="57" t="s">
        <v>241</v>
      </c>
      <c r="C140" s="56" t="s">
        <v>265</v>
      </c>
      <c r="D140" s="56" t="s">
        <v>255</v>
      </c>
      <c r="E140" s="56" t="s">
        <v>266</v>
      </c>
      <c r="F140" s="56">
        <v>2</v>
      </c>
      <c r="G140" s="56"/>
      <c r="H140" s="56" t="s">
        <v>241</v>
      </c>
      <c r="I140" s="60">
        <v>2403282.5499999998</v>
      </c>
      <c r="J140" s="60">
        <v>2403282.5499999998</v>
      </c>
      <c r="K140" s="48" t="s">
        <v>448</v>
      </c>
      <c r="L140" s="77"/>
      <c r="M140" s="76"/>
      <c r="N140" s="61"/>
      <c r="O140" s="56"/>
      <c r="P140" s="76" t="s">
        <v>257</v>
      </c>
      <c r="Q140" s="76" t="s">
        <v>267</v>
      </c>
      <c r="R140" s="217"/>
      <c r="S140" s="56" t="s">
        <v>264</v>
      </c>
      <c r="T140" s="218"/>
      <c r="U140" s="140"/>
      <c r="V140" s="140"/>
    </row>
    <row r="141" spans="1:22" s="51" customFormat="1" ht="60" x14ac:dyDescent="0.25">
      <c r="A141" s="59">
        <v>4</v>
      </c>
      <c r="B141" s="57" t="s">
        <v>241</v>
      </c>
      <c r="C141" s="48" t="s">
        <v>268</v>
      </c>
      <c r="D141" s="56" t="s">
        <v>255</v>
      </c>
      <c r="E141" s="56" t="s">
        <v>269</v>
      </c>
      <c r="F141" s="56">
        <v>1</v>
      </c>
      <c r="G141" s="56"/>
      <c r="H141" s="56" t="s">
        <v>241</v>
      </c>
      <c r="I141" s="60">
        <v>5195960.07</v>
      </c>
      <c r="J141" s="60">
        <v>5195960.07</v>
      </c>
      <c r="K141" s="48" t="s">
        <v>448</v>
      </c>
      <c r="L141" s="77"/>
      <c r="M141" s="76"/>
      <c r="N141" s="61"/>
      <c r="O141" s="56"/>
      <c r="P141" s="76" t="s">
        <v>257</v>
      </c>
      <c r="Q141" s="76" t="s">
        <v>270</v>
      </c>
      <c r="R141" s="217"/>
      <c r="S141" s="56" t="s">
        <v>264</v>
      </c>
      <c r="T141" s="218"/>
      <c r="U141" s="140"/>
      <c r="V141" s="140"/>
    </row>
    <row r="142" spans="1:22" s="51" customFormat="1" ht="30" x14ac:dyDescent="0.25">
      <c r="A142" s="59">
        <v>4</v>
      </c>
      <c r="B142" s="57" t="s">
        <v>241</v>
      </c>
      <c r="C142" s="48" t="s">
        <v>271</v>
      </c>
      <c r="D142" s="56" t="s">
        <v>255</v>
      </c>
      <c r="E142" s="56" t="s">
        <v>256</v>
      </c>
      <c r="F142" s="56">
        <v>2</v>
      </c>
      <c r="G142" s="56"/>
      <c r="H142" s="56" t="s">
        <v>241</v>
      </c>
      <c r="I142" s="60">
        <v>6148790.9400000004</v>
      </c>
      <c r="J142" s="60">
        <v>6148790.9400000004</v>
      </c>
      <c r="K142" s="48" t="s">
        <v>448</v>
      </c>
      <c r="L142" s="77"/>
      <c r="M142" s="76"/>
      <c r="N142" s="61"/>
      <c r="O142" s="56"/>
      <c r="P142" s="76" t="s">
        <v>257</v>
      </c>
      <c r="Q142" s="76" t="s">
        <v>267</v>
      </c>
      <c r="R142" s="217"/>
      <c r="S142" s="56" t="s">
        <v>264</v>
      </c>
      <c r="T142" s="218"/>
      <c r="U142" s="140"/>
      <c r="V142" s="140"/>
    </row>
    <row r="143" spans="1:22" s="51" customFormat="1" ht="60" x14ac:dyDescent="0.25">
      <c r="A143" s="59">
        <v>4</v>
      </c>
      <c r="B143" s="57" t="s">
        <v>241</v>
      </c>
      <c r="C143" s="56" t="s">
        <v>272</v>
      </c>
      <c r="D143" s="56" t="s">
        <v>255</v>
      </c>
      <c r="E143" s="56" t="s">
        <v>103</v>
      </c>
      <c r="F143" s="56">
        <v>2</v>
      </c>
      <c r="G143" s="56"/>
      <c r="H143" s="56" t="s">
        <v>241</v>
      </c>
      <c r="I143" s="60">
        <v>6844060.5899999999</v>
      </c>
      <c r="J143" s="60">
        <v>6844060.5899999999</v>
      </c>
      <c r="K143" s="48" t="s">
        <v>569</v>
      </c>
      <c r="L143" s="77"/>
      <c r="M143" s="76"/>
      <c r="N143" s="61"/>
      <c r="O143" s="56"/>
      <c r="P143" s="76" t="s">
        <v>114</v>
      </c>
      <c r="Q143" s="76" t="s">
        <v>249</v>
      </c>
      <c r="R143" s="62" t="s">
        <v>246</v>
      </c>
      <c r="S143" s="56" t="s">
        <v>264</v>
      </c>
      <c r="T143" s="78" t="s">
        <v>273</v>
      </c>
      <c r="U143" s="140" t="s">
        <v>274</v>
      </c>
      <c r="V143" s="140"/>
    </row>
    <row r="144" spans="1:22" s="51" customFormat="1" ht="60" x14ac:dyDescent="0.25">
      <c r="A144" s="59">
        <v>4</v>
      </c>
      <c r="B144" s="57" t="s">
        <v>241</v>
      </c>
      <c r="C144" s="56" t="s">
        <v>275</v>
      </c>
      <c r="D144" s="56" t="s">
        <v>255</v>
      </c>
      <c r="E144" s="56" t="s">
        <v>99</v>
      </c>
      <c r="F144" s="56">
        <v>2</v>
      </c>
      <c r="G144" s="56"/>
      <c r="H144" s="56" t="s">
        <v>241</v>
      </c>
      <c r="I144" s="60">
        <v>608796.63</v>
      </c>
      <c r="J144" s="60">
        <v>608796.63</v>
      </c>
      <c r="K144" s="48" t="s">
        <v>569</v>
      </c>
      <c r="L144" s="77"/>
      <c r="M144" s="76"/>
      <c r="N144" s="61"/>
      <c r="O144" s="56"/>
      <c r="P144" s="76" t="s">
        <v>276</v>
      </c>
      <c r="Q144" s="76" t="s">
        <v>277</v>
      </c>
      <c r="R144" s="62" t="s">
        <v>246</v>
      </c>
      <c r="S144" s="56" t="s">
        <v>264</v>
      </c>
      <c r="T144" s="78" t="s">
        <v>278</v>
      </c>
      <c r="U144" s="140"/>
      <c r="V144" s="140"/>
    </row>
    <row r="145" spans="1:22" s="51" customFormat="1" ht="45" x14ac:dyDescent="0.25">
      <c r="A145" s="59">
        <v>4</v>
      </c>
      <c r="B145" s="57" t="s">
        <v>241</v>
      </c>
      <c r="C145" s="56" t="s">
        <v>279</v>
      </c>
      <c r="D145" s="56" t="s">
        <v>255</v>
      </c>
      <c r="E145" s="56" t="s">
        <v>280</v>
      </c>
      <c r="F145" s="56">
        <v>2</v>
      </c>
      <c r="G145" s="56"/>
      <c r="H145" s="56" t="s">
        <v>241</v>
      </c>
      <c r="I145" s="60">
        <v>80000</v>
      </c>
      <c r="J145" s="60">
        <v>80000</v>
      </c>
      <c r="K145" s="56" t="s">
        <v>281</v>
      </c>
      <c r="L145" s="77"/>
      <c r="M145" s="76"/>
      <c r="N145" s="61"/>
      <c r="O145" s="56"/>
      <c r="P145" s="76" t="s">
        <v>108</v>
      </c>
      <c r="Q145" s="76" t="s">
        <v>262</v>
      </c>
      <c r="R145" s="62" t="s">
        <v>246</v>
      </c>
      <c r="S145" s="56" t="s">
        <v>259</v>
      </c>
      <c r="T145" s="78" t="s">
        <v>282</v>
      </c>
      <c r="U145" s="140"/>
      <c r="V145" s="140"/>
    </row>
    <row r="146" spans="1:22" s="51" customFormat="1" ht="45" x14ac:dyDescent="0.25">
      <c r="A146" s="59">
        <v>4</v>
      </c>
      <c r="B146" s="57" t="s">
        <v>241</v>
      </c>
      <c r="C146" s="56" t="s">
        <v>283</v>
      </c>
      <c r="D146" s="56" t="s">
        <v>284</v>
      </c>
      <c r="E146" s="56" t="s">
        <v>99</v>
      </c>
      <c r="F146" s="56">
        <v>2</v>
      </c>
      <c r="G146" s="56"/>
      <c r="H146" s="56" t="s">
        <v>241</v>
      </c>
      <c r="I146" s="60">
        <v>2497017.44</v>
      </c>
      <c r="J146" s="60">
        <v>2497017.44</v>
      </c>
      <c r="K146" s="48" t="s">
        <v>391</v>
      </c>
      <c r="L146" s="77"/>
      <c r="M146" s="76"/>
      <c r="N146" s="61"/>
      <c r="O146" s="56"/>
      <c r="P146" s="76" t="s">
        <v>262</v>
      </c>
      <c r="Q146" s="76" t="s">
        <v>285</v>
      </c>
      <c r="R146" s="62" t="s">
        <v>286</v>
      </c>
      <c r="S146" s="56" t="s">
        <v>287</v>
      </c>
      <c r="T146" s="78" t="s">
        <v>288</v>
      </c>
      <c r="U146" s="140"/>
      <c r="V146" s="140" t="s">
        <v>289</v>
      </c>
    </row>
    <row r="147" spans="1:22" s="51" customFormat="1" ht="57" customHeight="1" x14ac:dyDescent="0.25">
      <c r="A147" s="59">
        <v>4</v>
      </c>
      <c r="B147" s="57" t="s">
        <v>241</v>
      </c>
      <c r="C147" s="56" t="s">
        <v>290</v>
      </c>
      <c r="D147" s="56" t="s">
        <v>255</v>
      </c>
      <c r="E147" s="56" t="s">
        <v>291</v>
      </c>
      <c r="F147" s="56">
        <v>3</v>
      </c>
      <c r="G147" s="56"/>
      <c r="H147" s="56" t="s">
        <v>241</v>
      </c>
      <c r="I147" s="60">
        <v>2222500</v>
      </c>
      <c r="J147" s="60"/>
      <c r="K147" s="56"/>
      <c r="L147" s="60">
        <v>2222500</v>
      </c>
      <c r="M147" s="76" t="s">
        <v>292</v>
      </c>
      <c r="N147" s="61"/>
      <c r="O147" s="56"/>
      <c r="P147" s="76" t="s">
        <v>277</v>
      </c>
      <c r="Q147" s="76" t="s">
        <v>270</v>
      </c>
      <c r="R147" s="62" t="s">
        <v>246</v>
      </c>
      <c r="S147" s="56" t="s">
        <v>264</v>
      </c>
      <c r="T147" s="78" t="s">
        <v>293</v>
      </c>
      <c r="U147" s="140" t="s">
        <v>274</v>
      </c>
      <c r="V147" s="140"/>
    </row>
    <row r="148" spans="1:22" s="51" customFormat="1" ht="75" x14ac:dyDescent="0.25">
      <c r="A148" s="59">
        <v>4</v>
      </c>
      <c r="B148" s="57" t="s">
        <v>241</v>
      </c>
      <c r="C148" s="56" t="s">
        <v>294</v>
      </c>
      <c r="D148" s="56" t="s">
        <v>295</v>
      </c>
      <c r="E148" s="56" t="s">
        <v>296</v>
      </c>
      <c r="F148" s="56">
        <v>1</v>
      </c>
      <c r="G148" s="56"/>
      <c r="H148" s="56" t="s">
        <v>241</v>
      </c>
      <c r="I148" s="60">
        <v>13000000</v>
      </c>
      <c r="J148" s="60"/>
      <c r="K148" s="56"/>
      <c r="L148" s="60">
        <v>13000000</v>
      </c>
      <c r="M148" s="76" t="s">
        <v>297</v>
      </c>
      <c r="N148" s="61"/>
      <c r="O148" s="56"/>
      <c r="P148" s="76" t="s">
        <v>114</v>
      </c>
      <c r="Q148" s="76" t="s">
        <v>298</v>
      </c>
      <c r="R148" s="62" t="s">
        <v>246</v>
      </c>
      <c r="S148" s="56" t="s">
        <v>264</v>
      </c>
      <c r="T148" s="78" t="s">
        <v>299</v>
      </c>
      <c r="U148" s="140"/>
      <c r="V148" s="140"/>
    </row>
    <row r="149" spans="1:22" s="51" customFormat="1" ht="75" x14ac:dyDescent="0.25">
      <c r="A149" s="59">
        <v>4</v>
      </c>
      <c r="B149" s="57" t="s">
        <v>241</v>
      </c>
      <c r="C149" s="56" t="s">
        <v>300</v>
      </c>
      <c r="D149" s="56" t="s">
        <v>301</v>
      </c>
      <c r="E149" s="56" t="s">
        <v>302</v>
      </c>
      <c r="F149" s="56">
        <v>3</v>
      </c>
      <c r="G149" s="56"/>
      <c r="H149" s="56" t="s">
        <v>241</v>
      </c>
      <c r="I149" s="60">
        <v>102710000</v>
      </c>
      <c r="J149" s="60"/>
      <c r="K149" s="56"/>
      <c r="L149" s="60">
        <v>102710000</v>
      </c>
      <c r="M149" s="76" t="s">
        <v>303</v>
      </c>
      <c r="N149" s="61"/>
      <c r="O149" s="56"/>
      <c r="P149" s="76" t="s">
        <v>304</v>
      </c>
      <c r="Q149" s="76" t="s">
        <v>305</v>
      </c>
      <c r="R149" s="56"/>
      <c r="S149" s="56"/>
      <c r="T149" s="219" t="s">
        <v>306</v>
      </c>
      <c r="U149" s="140"/>
      <c r="V149" s="140" t="s">
        <v>307</v>
      </c>
    </row>
    <row r="150" spans="1:22" s="51" customFormat="1" ht="60" x14ac:dyDescent="0.25">
      <c r="A150" s="59">
        <v>4</v>
      </c>
      <c r="B150" s="57" t="s">
        <v>241</v>
      </c>
      <c r="C150" s="56" t="s">
        <v>308</v>
      </c>
      <c r="D150" s="56" t="s">
        <v>309</v>
      </c>
      <c r="E150" s="56" t="s">
        <v>310</v>
      </c>
      <c r="F150" s="56">
        <v>5</v>
      </c>
      <c r="G150" s="56"/>
      <c r="H150" s="56" t="s">
        <v>241</v>
      </c>
      <c r="I150" s="60">
        <v>45730000</v>
      </c>
      <c r="J150" s="60"/>
      <c r="K150" s="56"/>
      <c r="L150" s="79">
        <f t="shared" ref="L150:L158" si="4">I150</f>
        <v>45730000</v>
      </c>
      <c r="M150" s="60" t="s">
        <v>303</v>
      </c>
      <c r="N150" s="61"/>
      <c r="O150" s="56"/>
      <c r="P150" s="76" t="s">
        <v>311</v>
      </c>
      <c r="Q150" s="76" t="s">
        <v>312</v>
      </c>
      <c r="R150" s="216" t="s">
        <v>313</v>
      </c>
      <c r="S150" s="216" t="s">
        <v>314</v>
      </c>
      <c r="T150" s="219"/>
      <c r="U150" s="140"/>
      <c r="V150" s="140"/>
    </row>
    <row r="151" spans="1:22" s="51" customFormat="1" ht="60" x14ac:dyDescent="0.25">
      <c r="A151" s="59">
        <v>4</v>
      </c>
      <c r="B151" s="57" t="s">
        <v>241</v>
      </c>
      <c r="C151" s="56" t="s">
        <v>315</v>
      </c>
      <c r="D151" s="56" t="s">
        <v>316</v>
      </c>
      <c r="E151" s="56" t="s">
        <v>67</v>
      </c>
      <c r="F151" s="56">
        <v>4</v>
      </c>
      <c r="G151" s="56"/>
      <c r="H151" s="56" t="s">
        <v>241</v>
      </c>
      <c r="I151" s="60">
        <v>16130000</v>
      </c>
      <c r="J151" s="60"/>
      <c r="K151" s="56"/>
      <c r="L151" s="79">
        <f t="shared" si="4"/>
        <v>16130000</v>
      </c>
      <c r="M151" s="60" t="s">
        <v>303</v>
      </c>
      <c r="N151" s="61"/>
      <c r="O151" s="56"/>
      <c r="P151" s="76" t="s">
        <v>305</v>
      </c>
      <c r="Q151" s="76" t="s">
        <v>312</v>
      </c>
      <c r="R151" s="216"/>
      <c r="S151" s="216"/>
      <c r="T151" s="219"/>
      <c r="U151" s="140"/>
      <c r="V151" s="140"/>
    </row>
    <row r="152" spans="1:22" s="51" customFormat="1" ht="60" x14ac:dyDescent="0.25">
      <c r="A152" s="59">
        <v>4</v>
      </c>
      <c r="B152" s="57" t="s">
        <v>241</v>
      </c>
      <c r="C152" s="56" t="s">
        <v>317</v>
      </c>
      <c r="D152" s="56" t="s">
        <v>255</v>
      </c>
      <c r="E152" s="56" t="s">
        <v>318</v>
      </c>
      <c r="F152" s="56">
        <v>4</v>
      </c>
      <c r="G152" s="56"/>
      <c r="H152" s="56" t="s">
        <v>241</v>
      </c>
      <c r="I152" s="60">
        <v>8760000</v>
      </c>
      <c r="J152" s="60"/>
      <c r="K152" s="56"/>
      <c r="L152" s="79">
        <f t="shared" si="4"/>
        <v>8760000</v>
      </c>
      <c r="M152" s="60" t="s">
        <v>303</v>
      </c>
      <c r="N152" s="61"/>
      <c r="O152" s="56"/>
      <c r="P152" s="76" t="s">
        <v>319</v>
      </c>
      <c r="Q152" s="76" t="s">
        <v>312</v>
      </c>
      <c r="R152" s="216"/>
      <c r="S152" s="216"/>
      <c r="T152" s="219"/>
      <c r="U152" s="140"/>
      <c r="V152" s="140"/>
    </row>
    <row r="153" spans="1:22" s="51" customFormat="1" ht="45" x14ac:dyDescent="0.25">
      <c r="A153" s="59">
        <v>4</v>
      </c>
      <c r="B153" s="57" t="s">
        <v>241</v>
      </c>
      <c r="C153" s="56" t="s">
        <v>320</v>
      </c>
      <c r="D153" s="56" t="s">
        <v>321</v>
      </c>
      <c r="E153" s="56" t="s">
        <v>322</v>
      </c>
      <c r="F153" s="56">
        <v>4</v>
      </c>
      <c r="G153" s="56"/>
      <c r="H153" s="56" t="s">
        <v>241</v>
      </c>
      <c r="I153" s="60">
        <v>4221436.83</v>
      </c>
      <c r="J153" s="60"/>
      <c r="K153" s="56"/>
      <c r="L153" s="79">
        <f t="shared" si="4"/>
        <v>4221436.83</v>
      </c>
      <c r="M153" s="136" t="s">
        <v>481</v>
      </c>
      <c r="N153" s="61"/>
      <c r="O153" s="56"/>
      <c r="P153" s="76" t="s">
        <v>323</v>
      </c>
      <c r="Q153" s="76" t="s">
        <v>298</v>
      </c>
      <c r="R153" s="216" t="s">
        <v>313</v>
      </c>
      <c r="S153" s="216" t="s">
        <v>314</v>
      </c>
      <c r="T153" s="78" t="s">
        <v>324</v>
      </c>
      <c r="U153" s="140"/>
      <c r="V153" s="216" t="s">
        <v>341</v>
      </c>
    </row>
    <row r="154" spans="1:22" s="51" customFormat="1" ht="45" x14ac:dyDescent="0.25">
      <c r="A154" s="59">
        <v>4</v>
      </c>
      <c r="B154" s="57" t="s">
        <v>241</v>
      </c>
      <c r="C154" s="56" t="s">
        <v>325</v>
      </c>
      <c r="D154" s="56" t="s">
        <v>321</v>
      </c>
      <c r="E154" s="56" t="s">
        <v>326</v>
      </c>
      <c r="F154" s="56">
        <v>4</v>
      </c>
      <c r="G154" s="56"/>
      <c r="H154" s="56" t="s">
        <v>241</v>
      </c>
      <c r="I154" s="60">
        <v>1679759.67</v>
      </c>
      <c r="J154" s="60"/>
      <c r="K154" s="56"/>
      <c r="L154" s="79">
        <f t="shared" si="4"/>
        <v>1679759.67</v>
      </c>
      <c r="M154" s="136" t="s">
        <v>481</v>
      </c>
      <c r="N154" s="61"/>
      <c r="O154" s="56"/>
      <c r="P154" s="76" t="s">
        <v>298</v>
      </c>
      <c r="Q154" s="76" t="s">
        <v>298</v>
      </c>
      <c r="R154" s="216"/>
      <c r="S154" s="216"/>
      <c r="T154" s="78" t="s">
        <v>327</v>
      </c>
      <c r="U154" s="140"/>
      <c r="V154" s="216"/>
    </row>
    <row r="155" spans="1:22" s="51" customFormat="1" ht="30" x14ac:dyDescent="0.25">
      <c r="A155" s="59">
        <v>4</v>
      </c>
      <c r="B155" s="57" t="s">
        <v>241</v>
      </c>
      <c r="C155" s="56" t="s">
        <v>328</v>
      </c>
      <c r="D155" s="56" t="s">
        <v>321</v>
      </c>
      <c r="E155" s="56" t="s">
        <v>67</v>
      </c>
      <c r="F155" s="56">
        <v>4</v>
      </c>
      <c r="G155" s="56"/>
      <c r="H155" s="56" t="s">
        <v>241</v>
      </c>
      <c r="I155" s="60">
        <v>4500000</v>
      </c>
      <c r="J155" s="60"/>
      <c r="K155" s="56"/>
      <c r="L155" s="79">
        <f t="shared" si="4"/>
        <v>4500000</v>
      </c>
      <c r="M155" s="136" t="s">
        <v>481</v>
      </c>
      <c r="N155" s="61"/>
      <c r="O155" s="56"/>
      <c r="P155" s="76" t="s">
        <v>267</v>
      </c>
      <c r="Q155" s="76" t="s">
        <v>329</v>
      </c>
      <c r="R155" s="216"/>
      <c r="S155" s="216"/>
      <c r="T155" s="78" t="s">
        <v>330</v>
      </c>
      <c r="U155" s="140"/>
      <c r="V155" s="216"/>
    </row>
    <row r="156" spans="1:22" s="51" customFormat="1" ht="45" x14ac:dyDescent="0.25">
      <c r="A156" s="59">
        <v>4</v>
      </c>
      <c r="B156" s="57" t="s">
        <v>241</v>
      </c>
      <c r="C156" s="56" t="s">
        <v>331</v>
      </c>
      <c r="D156" s="56" t="s">
        <v>321</v>
      </c>
      <c r="E156" s="56" t="s">
        <v>332</v>
      </c>
      <c r="F156" s="56">
        <v>5</v>
      </c>
      <c r="G156" s="56"/>
      <c r="H156" s="56" t="s">
        <v>241</v>
      </c>
      <c r="I156" s="60">
        <v>12002470</v>
      </c>
      <c r="J156" s="60"/>
      <c r="K156" s="56"/>
      <c r="L156" s="79">
        <f t="shared" si="4"/>
        <v>12002470</v>
      </c>
      <c r="M156" s="136" t="s">
        <v>481</v>
      </c>
      <c r="N156" s="61"/>
      <c r="O156" s="56"/>
      <c r="P156" s="76" t="s">
        <v>323</v>
      </c>
      <c r="Q156" s="76" t="s">
        <v>298</v>
      </c>
      <c r="R156" s="216"/>
      <c r="S156" s="216"/>
      <c r="T156" s="78" t="s">
        <v>333</v>
      </c>
      <c r="U156" s="140"/>
      <c r="V156" s="216"/>
    </row>
    <row r="157" spans="1:22" s="51" customFormat="1" ht="30" x14ac:dyDescent="0.25">
      <c r="A157" s="59">
        <v>4</v>
      </c>
      <c r="B157" s="57" t="s">
        <v>241</v>
      </c>
      <c r="C157" s="56" t="s">
        <v>334</v>
      </c>
      <c r="D157" s="56" t="s">
        <v>321</v>
      </c>
      <c r="E157" s="56" t="s">
        <v>67</v>
      </c>
      <c r="F157" s="56">
        <v>4</v>
      </c>
      <c r="G157" s="56"/>
      <c r="H157" s="56" t="s">
        <v>241</v>
      </c>
      <c r="I157" s="60">
        <v>2130352.36</v>
      </c>
      <c r="J157" s="60"/>
      <c r="K157" s="56"/>
      <c r="L157" s="79">
        <f t="shared" si="4"/>
        <v>2130352.36</v>
      </c>
      <c r="M157" s="136" t="s">
        <v>481</v>
      </c>
      <c r="N157" s="61"/>
      <c r="O157" s="56"/>
      <c r="P157" s="76" t="s">
        <v>298</v>
      </c>
      <c r="Q157" s="76" t="s">
        <v>298</v>
      </c>
      <c r="R157" s="216"/>
      <c r="S157" s="216"/>
      <c r="T157" s="78" t="s">
        <v>327</v>
      </c>
      <c r="U157" s="140"/>
      <c r="V157" s="216"/>
    </row>
    <row r="158" spans="1:22" s="51" customFormat="1" ht="60" x14ac:dyDescent="0.25">
      <c r="A158" s="59">
        <v>4</v>
      </c>
      <c r="B158" s="57" t="s">
        <v>241</v>
      </c>
      <c r="C158" s="56" t="s">
        <v>335</v>
      </c>
      <c r="D158" s="56" t="s">
        <v>321</v>
      </c>
      <c r="E158" s="56" t="s">
        <v>118</v>
      </c>
      <c r="F158" s="56">
        <v>5</v>
      </c>
      <c r="G158" s="56"/>
      <c r="H158" s="56" t="s">
        <v>241</v>
      </c>
      <c r="I158" s="60">
        <v>3850000</v>
      </c>
      <c r="J158" s="60"/>
      <c r="K158" s="56"/>
      <c r="L158" s="79">
        <f t="shared" si="4"/>
        <v>3850000</v>
      </c>
      <c r="M158" s="136" t="s">
        <v>481</v>
      </c>
      <c r="N158" s="61"/>
      <c r="O158" s="56"/>
      <c r="P158" s="76" t="s">
        <v>336</v>
      </c>
      <c r="Q158" s="76" t="s">
        <v>298</v>
      </c>
      <c r="R158" s="216"/>
      <c r="S158" s="216"/>
      <c r="T158" s="78" t="s">
        <v>327</v>
      </c>
      <c r="U158" s="140"/>
      <c r="V158" s="216"/>
    </row>
    <row r="159" spans="1:22" s="51" customFormat="1" ht="66.75" customHeight="1" x14ac:dyDescent="0.25">
      <c r="A159" s="59">
        <v>4</v>
      </c>
      <c r="B159" s="57" t="s">
        <v>241</v>
      </c>
      <c r="C159" s="63" t="s">
        <v>337</v>
      </c>
      <c r="D159" s="56" t="s">
        <v>321</v>
      </c>
      <c r="E159" s="56" t="s">
        <v>199</v>
      </c>
      <c r="F159" s="56">
        <v>5</v>
      </c>
      <c r="G159" s="56"/>
      <c r="H159" s="56" t="s">
        <v>241</v>
      </c>
      <c r="I159" s="60"/>
      <c r="J159" s="60"/>
      <c r="K159" s="56"/>
      <c r="L159" s="79"/>
      <c r="M159" s="76"/>
      <c r="N159" s="110">
        <v>9860000</v>
      </c>
      <c r="O159" s="56" t="s">
        <v>248</v>
      </c>
      <c r="P159" s="76" t="s">
        <v>285</v>
      </c>
      <c r="Q159" s="76" t="s">
        <v>329</v>
      </c>
      <c r="R159" s="216"/>
      <c r="S159" s="216"/>
      <c r="T159" s="78" t="s">
        <v>327</v>
      </c>
      <c r="U159" s="140"/>
      <c r="V159" s="216" t="s">
        <v>342</v>
      </c>
    </row>
    <row r="160" spans="1:22" s="51" customFormat="1" ht="88.5" customHeight="1" x14ac:dyDescent="0.25">
      <c r="A160" s="59">
        <v>4</v>
      </c>
      <c r="B160" s="57" t="s">
        <v>241</v>
      </c>
      <c r="C160" s="63" t="s">
        <v>339</v>
      </c>
      <c r="D160" s="56" t="s">
        <v>340</v>
      </c>
      <c r="E160" s="56" t="s">
        <v>99</v>
      </c>
      <c r="F160" s="56">
        <v>3</v>
      </c>
      <c r="G160" s="56"/>
      <c r="H160" s="56" t="s">
        <v>241</v>
      </c>
      <c r="I160" s="60"/>
      <c r="J160" s="60"/>
      <c r="K160" s="56"/>
      <c r="L160" s="79"/>
      <c r="M160" s="76"/>
      <c r="N160" s="110">
        <v>3052746.93</v>
      </c>
      <c r="O160" s="56" t="s">
        <v>248</v>
      </c>
      <c r="P160" s="76" t="s">
        <v>285</v>
      </c>
      <c r="Q160" s="76" t="s">
        <v>329</v>
      </c>
      <c r="R160" s="216"/>
      <c r="S160" s="216"/>
      <c r="T160" s="78" t="s">
        <v>338</v>
      </c>
      <c r="U160" s="140"/>
      <c r="V160" s="216"/>
    </row>
    <row r="161" spans="1:24" s="51" customFormat="1" ht="90" x14ac:dyDescent="0.25">
      <c r="A161" s="59">
        <v>4</v>
      </c>
      <c r="B161" s="57" t="s">
        <v>564</v>
      </c>
      <c r="C161" s="56" t="s">
        <v>551</v>
      </c>
      <c r="D161" s="56" t="s">
        <v>479</v>
      </c>
      <c r="E161" s="56" t="s">
        <v>483</v>
      </c>
      <c r="F161" s="48" t="s">
        <v>592</v>
      </c>
      <c r="G161" s="56"/>
      <c r="H161" s="56" t="s">
        <v>480</v>
      </c>
      <c r="I161" s="49">
        <v>11620000</v>
      </c>
      <c r="J161" s="49"/>
      <c r="K161" s="56"/>
      <c r="L161" s="49">
        <v>11620000</v>
      </c>
      <c r="M161" s="56" t="s">
        <v>481</v>
      </c>
      <c r="N161" s="75"/>
      <c r="O161" s="75"/>
      <c r="P161" s="76" t="s">
        <v>222</v>
      </c>
      <c r="Q161" s="76" t="s">
        <v>482</v>
      </c>
      <c r="R161" s="56" t="s">
        <v>481</v>
      </c>
      <c r="S161" s="56" t="s">
        <v>491</v>
      </c>
      <c r="T161" s="56" t="s">
        <v>490</v>
      </c>
      <c r="U161" s="140"/>
      <c r="V161" s="140"/>
    </row>
    <row r="162" spans="1:24" ht="120" x14ac:dyDescent="0.25">
      <c r="A162" s="40">
        <v>5</v>
      </c>
      <c r="B162" s="1" t="s">
        <v>565</v>
      </c>
      <c r="C162" s="80" t="s">
        <v>461</v>
      </c>
      <c r="D162" s="25" t="s">
        <v>625</v>
      </c>
      <c r="E162" s="25" t="s">
        <v>493</v>
      </c>
      <c r="F162" s="25">
        <v>0</v>
      </c>
      <c r="G162" s="25"/>
      <c r="H162" s="25" t="s">
        <v>441</v>
      </c>
      <c r="I162" s="22">
        <v>30000000</v>
      </c>
      <c r="J162" s="22"/>
      <c r="K162" s="25"/>
      <c r="L162" s="81">
        <v>18000000</v>
      </c>
      <c r="M162" s="15" t="s">
        <v>481</v>
      </c>
      <c r="N162" s="107"/>
      <c r="O162" s="25"/>
      <c r="P162" s="67" t="s">
        <v>222</v>
      </c>
      <c r="Q162" s="67" t="s">
        <v>482</v>
      </c>
      <c r="R162" s="25" t="s">
        <v>481</v>
      </c>
      <c r="S162" s="25" t="s">
        <v>491</v>
      </c>
      <c r="T162" s="25" t="s">
        <v>494</v>
      </c>
      <c r="U162" s="138"/>
      <c r="V162" s="138"/>
    </row>
    <row r="163" spans="1:24" ht="24.75" customHeight="1" x14ac:dyDescent="0.25">
      <c r="A163" s="40"/>
      <c r="B163" s="1"/>
      <c r="C163" s="80"/>
      <c r="D163" s="25"/>
      <c r="E163" s="25"/>
      <c r="F163" s="25"/>
      <c r="G163" s="25"/>
      <c r="H163" s="25"/>
      <c r="I163" s="22"/>
      <c r="J163" s="22"/>
      <c r="K163" s="25"/>
      <c r="L163" s="81"/>
      <c r="M163" s="67"/>
      <c r="N163" s="107"/>
      <c r="O163" s="25"/>
      <c r="P163" s="67"/>
      <c r="Q163" s="67"/>
      <c r="R163" s="25"/>
      <c r="S163" s="25"/>
      <c r="T163" s="82"/>
      <c r="U163" s="138"/>
      <c r="V163" s="138"/>
    </row>
    <row r="164" spans="1:24" s="51" customFormat="1" ht="195" x14ac:dyDescent="0.25">
      <c r="A164" s="48">
        <v>6</v>
      </c>
      <c r="B164" s="47" t="s">
        <v>207</v>
      </c>
      <c r="C164" s="56" t="s">
        <v>344</v>
      </c>
      <c r="D164" s="56" t="s">
        <v>349</v>
      </c>
      <c r="E164" s="56" t="s">
        <v>351</v>
      </c>
      <c r="F164" s="48" t="s">
        <v>593</v>
      </c>
      <c r="G164" s="56"/>
      <c r="H164" s="56" t="s">
        <v>207</v>
      </c>
      <c r="I164" s="49">
        <f>+J164</f>
        <v>3000000</v>
      </c>
      <c r="J164" s="49">
        <v>3000000</v>
      </c>
      <c r="K164" s="56" t="s">
        <v>281</v>
      </c>
      <c r="L164" s="75"/>
      <c r="M164" s="75"/>
      <c r="N164" s="75"/>
      <c r="O164" s="75"/>
      <c r="P164" s="76" t="s">
        <v>352</v>
      </c>
      <c r="Q164" s="76" t="s">
        <v>353</v>
      </c>
      <c r="R164" s="56" t="s">
        <v>354</v>
      </c>
      <c r="S164" s="56" t="s">
        <v>357</v>
      </c>
      <c r="T164" s="56" t="s">
        <v>361</v>
      </c>
      <c r="U164" s="140" t="s">
        <v>355</v>
      </c>
      <c r="V164" s="140" t="s">
        <v>356</v>
      </c>
      <c r="W164" s="64"/>
      <c r="X164" s="64"/>
    </row>
    <row r="165" spans="1:24" s="51" customFormat="1" ht="180" x14ac:dyDescent="0.25">
      <c r="A165" s="59">
        <v>6</v>
      </c>
      <c r="B165" s="47" t="s">
        <v>207</v>
      </c>
      <c r="C165" s="56" t="s">
        <v>345</v>
      </c>
      <c r="D165" s="56" t="s">
        <v>350</v>
      </c>
      <c r="E165" s="56" t="s">
        <v>358</v>
      </c>
      <c r="F165" s="48" t="s">
        <v>594</v>
      </c>
      <c r="G165" s="56"/>
      <c r="H165" s="56" t="s">
        <v>207</v>
      </c>
      <c r="I165" s="49">
        <f>+J165</f>
        <v>1500000</v>
      </c>
      <c r="J165" s="49">
        <v>1500000</v>
      </c>
      <c r="K165" s="56" t="s">
        <v>359</v>
      </c>
      <c r="L165" s="75"/>
      <c r="M165" s="75"/>
      <c r="N165" s="75"/>
      <c r="O165" s="75"/>
      <c r="P165" s="76" t="s">
        <v>352</v>
      </c>
      <c r="Q165" s="76" t="s">
        <v>353</v>
      </c>
      <c r="R165" s="56" t="s">
        <v>207</v>
      </c>
      <c r="S165" s="56" t="s">
        <v>357</v>
      </c>
      <c r="T165" s="56" t="s">
        <v>362</v>
      </c>
      <c r="U165" s="140" t="s">
        <v>363</v>
      </c>
      <c r="V165" s="140" t="s">
        <v>360</v>
      </c>
      <c r="W165" s="64"/>
      <c r="X165" s="64"/>
    </row>
    <row r="166" spans="1:24" s="66" customFormat="1" ht="195" x14ac:dyDescent="0.25">
      <c r="A166" s="59">
        <v>6</v>
      </c>
      <c r="B166" s="47" t="s">
        <v>207</v>
      </c>
      <c r="C166" s="56" t="s">
        <v>346</v>
      </c>
      <c r="D166" s="56" t="s">
        <v>388</v>
      </c>
      <c r="E166" s="56" t="s">
        <v>364</v>
      </c>
      <c r="F166" s="48" t="s">
        <v>595</v>
      </c>
      <c r="G166" s="56"/>
      <c r="H166" s="56" t="s">
        <v>207</v>
      </c>
      <c r="I166" s="49"/>
      <c r="J166" s="49"/>
      <c r="K166" s="56"/>
      <c r="L166" s="49">
        <v>15000000</v>
      </c>
      <c r="M166" s="56" t="s">
        <v>365</v>
      </c>
      <c r="N166" s="56"/>
      <c r="O166" s="56"/>
      <c r="P166" s="76" t="s">
        <v>366</v>
      </c>
      <c r="Q166" s="76" t="s">
        <v>367</v>
      </c>
      <c r="R166" s="56" t="s">
        <v>207</v>
      </c>
      <c r="S166" s="56" t="s">
        <v>368</v>
      </c>
      <c r="T166" s="56" t="s">
        <v>389</v>
      </c>
      <c r="U166" s="140" t="s">
        <v>369</v>
      </c>
      <c r="V166" s="140"/>
      <c r="W166" s="65"/>
      <c r="X166" s="65"/>
    </row>
    <row r="167" spans="1:24" s="51" customFormat="1" ht="54.6" customHeight="1" x14ac:dyDescent="0.25">
      <c r="A167" s="59">
        <v>6</v>
      </c>
      <c r="B167" s="47" t="s">
        <v>207</v>
      </c>
      <c r="C167" s="56" t="s">
        <v>347</v>
      </c>
      <c r="D167" s="56" t="s">
        <v>370</v>
      </c>
      <c r="E167" s="56" t="s">
        <v>375</v>
      </c>
      <c r="F167" s="56">
        <v>4</v>
      </c>
      <c r="G167" s="56"/>
      <c r="H167" s="56" t="s">
        <v>207</v>
      </c>
      <c r="I167" s="49">
        <v>24000</v>
      </c>
      <c r="J167" s="49">
        <f>I167</f>
        <v>24000</v>
      </c>
      <c r="K167" s="56" t="s">
        <v>281</v>
      </c>
      <c r="L167" s="75"/>
      <c r="M167" s="75"/>
      <c r="N167" s="75"/>
      <c r="O167" s="75"/>
      <c r="P167" s="76" t="s">
        <v>352</v>
      </c>
      <c r="Q167" s="76" t="s">
        <v>353</v>
      </c>
      <c r="R167" s="56" t="s">
        <v>207</v>
      </c>
      <c r="S167" s="56"/>
      <c r="T167" s="56"/>
      <c r="U167" s="140"/>
      <c r="V167" s="140"/>
      <c r="W167" s="64"/>
      <c r="X167" s="64"/>
    </row>
    <row r="168" spans="1:24" s="51" customFormat="1" ht="51.6" customHeight="1" x14ac:dyDescent="0.25">
      <c r="A168" s="59">
        <v>6</v>
      </c>
      <c r="B168" s="47" t="s">
        <v>207</v>
      </c>
      <c r="C168" s="56" t="s">
        <v>347</v>
      </c>
      <c r="D168" s="56" t="s">
        <v>371</v>
      </c>
      <c r="E168" s="56" t="s">
        <v>99</v>
      </c>
      <c r="F168" s="56">
        <v>2</v>
      </c>
      <c r="G168" s="56"/>
      <c r="H168" s="56" t="s">
        <v>207</v>
      </c>
      <c r="I168" s="49">
        <v>16000</v>
      </c>
      <c r="J168" s="49">
        <f>I168</f>
        <v>16000</v>
      </c>
      <c r="K168" s="56" t="s">
        <v>281</v>
      </c>
      <c r="L168" s="75"/>
      <c r="M168" s="75"/>
      <c r="N168" s="75"/>
      <c r="O168" s="75"/>
      <c r="P168" s="76" t="s">
        <v>352</v>
      </c>
      <c r="Q168" s="76" t="s">
        <v>353</v>
      </c>
      <c r="R168" s="56" t="s">
        <v>207</v>
      </c>
      <c r="S168" s="56"/>
      <c r="T168" s="56"/>
      <c r="U168" s="140"/>
      <c r="V168" s="140"/>
      <c r="W168" s="64"/>
      <c r="X168" s="64"/>
    </row>
    <row r="169" spans="1:24" s="51" customFormat="1" ht="49.9" customHeight="1" x14ac:dyDescent="0.25">
      <c r="A169" s="59">
        <v>6</v>
      </c>
      <c r="B169" s="47" t="s">
        <v>207</v>
      </c>
      <c r="C169" s="56" t="s">
        <v>347</v>
      </c>
      <c r="D169" s="56" t="s">
        <v>372</v>
      </c>
      <c r="E169" s="56" t="s">
        <v>376</v>
      </c>
      <c r="F169" s="56">
        <v>0</v>
      </c>
      <c r="G169" s="56"/>
      <c r="H169" s="56" t="s">
        <v>207</v>
      </c>
      <c r="I169" s="49">
        <v>47058.879999999997</v>
      </c>
      <c r="J169" s="49">
        <f>I169</f>
        <v>47058.879999999997</v>
      </c>
      <c r="K169" s="56" t="s">
        <v>281</v>
      </c>
      <c r="L169" s="75"/>
      <c r="M169" s="75"/>
      <c r="N169" s="75"/>
      <c r="O169" s="75"/>
      <c r="P169" s="76" t="s">
        <v>352</v>
      </c>
      <c r="Q169" s="76" t="s">
        <v>353</v>
      </c>
      <c r="R169" s="56" t="s">
        <v>207</v>
      </c>
      <c r="S169" s="56"/>
      <c r="T169" s="56"/>
      <c r="U169" s="140"/>
      <c r="V169" s="140"/>
      <c r="W169" s="64"/>
      <c r="X169" s="64"/>
    </row>
    <row r="170" spans="1:24" s="51" customFormat="1" ht="45.6" customHeight="1" x14ac:dyDescent="0.25">
      <c r="A170" s="59">
        <v>6</v>
      </c>
      <c r="B170" s="47" t="s">
        <v>207</v>
      </c>
      <c r="C170" s="56" t="s">
        <v>347</v>
      </c>
      <c r="D170" s="56" t="s">
        <v>373</v>
      </c>
      <c r="E170" s="56" t="s">
        <v>377</v>
      </c>
      <c r="F170" s="56">
        <v>0</v>
      </c>
      <c r="G170" s="56"/>
      <c r="H170" s="56" t="s">
        <v>207</v>
      </c>
      <c r="I170" s="49">
        <v>58720</v>
      </c>
      <c r="J170" s="49">
        <f>I170</f>
        <v>58720</v>
      </c>
      <c r="K170" s="56" t="s">
        <v>281</v>
      </c>
      <c r="L170" s="75"/>
      <c r="M170" s="75"/>
      <c r="N170" s="75"/>
      <c r="O170" s="75"/>
      <c r="P170" s="76" t="s">
        <v>352</v>
      </c>
      <c r="Q170" s="76" t="s">
        <v>353</v>
      </c>
      <c r="R170" s="56" t="s">
        <v>207</v>
      </c>
      <c r="S170" s="56"/>
      <c r="T170" s="56"/>
      <c r="U170" s="140"/>
      <c r="V170" s="140"/>
      <c r="W170" s="64"/>
      <c r="X170" s="64"/>
    </row>
    <row r="171" spans="1:24" s="51" customFormat="1" ht="39.6" customHeight="1" x14ac:dyDescent="0.25">
      <c r="A171" s="59">
        <v>6</v>
      </c>
      <c r="B171" s="47" t="s">
        <v>207</v>
      </c>
      <c r="C171" s="56" t="s">
        <v>347</v>
      </c>
      <c r="D171" s="56" t="s">
        <v>374</v>
      </c>
      <c r="E171" s="56" t="s">
        <v>378</v>
      </c>
      <c r="F171" s="56">
        <v>0</v>
      </c>
      <c r="G171" s="56"/>
      <c r="H171" s="56" t="s">
        <v>207</v>
      </c>
      <c r="I171" s="49">
        <v>32000</v>
      </c>
      <c r="J171" s="49">
        <f>I171</f>
        <v>32000</v>
      </c>
      <c r="K171" s="56" t="s">
        <v>281</v>
      </c>
      <c r="L171" s="75"/>
      <c r="M171" s="75"/>
      <c r="N171" s="75"/>
      <c r="O171" s="75"/>
      <c r="P171" s="76" t="s">
        <v>352</v>
      </c>
      <c r="Q171" s="76" t="s">
        <v>353</v>
      </c>
      <c r="R171" s="56" t="s">
        <v>207</v>
      </c>
      <c r="S171" s="56"/>
      <c r="T171" s="56"/>
      <c r="U171" s="140"/>
      <c r="V171" s="140"/>
      <c r="W171" s="64"/>
      <c r="X171" s="64"/>
    </row>
    <row r="172" spans="1:24" s="51" customFormat="1" ht="90" x14ac:dyDescent="0.25">
      <c r="A172" s="46">
        <v>6</v>
      </c>
      <c r="B172" s="47" t="s">
        <v>343</v>
      </c>
      <c r="C172" s="56" t="s">
        <v>348</v>
      </c>
      <c r="D172" s="56" t="s">
        <v>379</v>
      </c>
      <c r="E172" s="56" t="s">
        <v>380</v>
      </c>
      <c r="F172" s="48" t="s">
        <v>484</v>
      </c>
      <c r="G172" s="56"/>
      <c r="H172" s="56" t="s">
        <v>381</v>
      </c>
      <c r="I172" s="49"/>
      <c r="J172" s="49">
        <v>218209.51</v>
      </c>
      <c r="K172" s="56" t="s">
        <v>382</v>
      </c>
      <c r="L172" s="75"/>
      <c r="M172" s="75"/>
      <c r="N172" s="75"/>
      <c r="O172" s="75"/>
      <c r="P172" s="50" t="s">
        <v>189</v>
      </c>
      <c r="Q172" s="50" t="s">
        <v>189</v>
      </c>
      <c r="R172" s="56" t="s">
        <v>386</v>
      </c>
      <c r="S172" s="56" t="s">
        <v>383</v>
      </c>
      <c r="T172" s="56" t="s">
        <v>384</v>
      </c>
      <c r="U172" s="140" t="s">
        <v>385</v>
      </c>
      <c r="V172" s="140" t="s">
        <v>387</v>
      </c>
      <c r="W172" s="64"/>
      <c r="X172" s="64"/>
    </row>
    <row r="173" spans="1:24" ht="195" x14ac:dyDescent="0.25">
      <c r="A173" s="117">
        <v>3</v>
      </c>
      <c r="B173" s="39" t="s">
        <v>402</v>
      </c>
      <c r="C173" s="83" t="s">
        <v>393</v>
      </c>
      <c r="D173" s="84" t="s">
        <v>395</v>
      </c>
      <c r="E173" s="84" t="s">
        <v>396</v>
      </c>
      <c r="F173" s="84" t="s">
        <v>595</v>
      </c>
      <c r="G173" s="84"/>
      <c r="H173" s="84" t="s">
        <v>397</v>
      </c>
      <c r="I173" s="85">
        <v>400000</v>
      </c>
      <c r="J173" s="85">
        <v>400000</v>
      </c>
      <c r="K173" s="2" t="s">
        <v>391</v>
      </c>
      <c r="L173" s="26"/>
      <c r="M173" s="26"/>
      <c r="N173" s="26"/>
      <c r="O173" s="26"/>
      <c r="P173" s="52">
        <v>2010</v>
      </c>
      <c r="Q173" s="52">
        <v>20014</v>
      </c>
      <c r="R173" s="25" t="s">
        <v>391</v>
      </c>
      <c r="S173" s="89" t="s">
        <v>403</v>
      </c>
      <c r="T173" s="54" t="s">
        <v>404</v>
      </c>
      <c r="U173" s="54" t="s">
        <v>405</v>
      </c>
      <c r="V173" s="54" t="s">
        <v>406</v>
      </c>
      <c r="W173" s="20"/>
      <c r="X173" s="20"/>
    </row>
    <row r="174" spans="1:24" ht="45.75" customHeight="1" x14ac:dyDescent="0.25">
      <c r="A174" s="117">
        <v>1</v>
      </c>
      <c r="B174" s="39" t="s">
        <v>402</v>
      </c>
      <c r="C174" s="83" t="s">
        <v>471</v>
      </c>
      <c r="D174" s="84" t="s">
        <v>470</v>
      </c>
      <c r="E174" s="84" t="s">
        <v>413</v>
      </c>
      <c r="F174" s="84">
        <v>0</v>
      </c>
      <c r="G174" s="84"/>
      <c r="H174" s="84"/>
      <c r="I174" s="85"/>
      <c r="J174" s="6">
        <v>7490000</v>
      </c>
      <c r="K174" s="2" t="s">
        <v>391</v>
      </c>
      <c r="L174" s="6">
        <v>9000000</v>
      </c>
      <c r="M174" s="123" t="s">
        <v>391</v>
      </c>
      <c r="N174" s="26"/>
      <c r="O174" s="26"/>
      <c r="P174" s="52">
        <v>2009</v>
      </c>
      <c r="Q174" s="52">
        <v>2017</v>
      </c>
      <c r="R174" s="25" t="s">
        <v>391</v>
      </c>
      <c r="S174" s="89" t="s">
        <v>403</v>
      </c>
      <c r="T174" s="54"/>
      <c r="U174" s="54"/>
      <c r="V174" s="54"/>
      <c r="W174" s="20"/>
      <c r="X174" s="20"/>
    </row>
    <row r="175" spans="1:24" ht="75" customHeight="1" x14ac:dyDescent="0.25">
      <c r="A175" s="117">
        <v>1</v>
      </c>
      <c r="B175" s="39" t="s">
        <v>402</v>
      </c>
      <c r="C175" s="83" t="s">
        <v>472</v>
      </c>
      <c r="D175" s="84" t="s">
        <v>473</v>
      </c>
      <c r="E175" s="84" t="s">
        <v>469</v>
      </c>
      <c r="F175" s="84">
        <v>0</v>
      </c>
      <c r="G175" s="84"/>
      <c r="H175" s="84" t="s">
        <v>468</v>
      </c>
      <c r="I175" s="85"/>
      <c r="J175" s="6">
        <v>3000000</v>
      </c>
      <c r="K175" s="2" t="s">
        <v>391</v>
      </c>
      <c r="L175" s="26"/>
      <c r="M175" s="26"/>
      <c r="N175" s="26"/>
      <c r="O175" s="26"/>
      <c r="P175" s="52">
        <v>2011</v>
      </c>
      <c r="Q175" s="52">
        <v>2015</v>
      </c>
      <c r="R175" s="25" t="s">
        <v>391</v>
      </c>
      <c r="S175" s="89" t="s">
        <v>403</v>
      </c>
      <c r="T175" s="54"/>
      <c r="U175" s="54"/>
      <c r="V175" s="54"/>
      <c r="W175" s="20"/>
      <c r="X175" s="20"/>
    </row>
    <row r="176" spans="1:24" ht="61.5" customHeight="1" x14ac:dyDescent="0.25">
      <c r="A176" s="117">
        <v>1</v>
      </c>
      <c r="B176" s="39" t="s">
        <v>402</v>
      </c>
      <c r="C176" s="83" t="s">
        <v>474</v>
      </c>
      <c r="D176" s="84" t="s">
        <v>476</v>
      </c>
      <c r="E176" s="84" t="s">
        <v>475</v>
      </c>
      <c r="F176" s="84">
        <v>0</v>
      </c>
      <c r="G176" s="84"/>
      <c r="H176" s="84" t="s">
        <v>477</v>
      </c>
      <c r="I176" s="85"/>
      <c r="J176" s="6">
        <f>5000*40</f>
        <v>200000</v>
      </c>
      <c r="K176" s="2" t="s">
        <v>391</v>
      </c>
      <c r="L176" s="26"/>
      <c r="M176" s="26"/>
      <c r="N176" s="26"/>
      <c r="O176" s="26"/>
      <c r="P176" s="52">
        <v>2013</v>
      </c>
      <c r="Q176" s="52">
        <v>2014</v>
      </c>
      <c r="R176" s="25" t="s">
        <v>391</v>
      </c>
      <c r="S176" s="89" t="s">
        <v>403</v>
      </c>
      <c r="T176" s="54"/>
      <c r="U176" s="54"/>
      <c r="V176" s="54"/>
      <c r="W176" s="20"/>
      <c r="X176" s="20"/>
    </row>
    <row r="177" spans="1:24" ht="60" x14ac:dyDescent="0.25">
      <c r="A177" s="117">
        <v>3</v>
      </c>
      <c r="B177" s="39" t="s">
        <v>402</v>
      </c>
      <c r="C177" s="86" t="s">
        <v>394</v>
      </c>
      <c r="D177" s="84" t="s">
        <v>398</v>
      </c>
      <c r="E177" s="84" t="s">
        <v>399</v>
      </c>
      <c r="F177" s="84">
        <v>0</v>
      </c>
      <c r="G177" s="84"/>
      <c r="H177" s="84" t="s">
        <v>400</v>
      </c>
      <c r="I177" s="87"/>
      <c r="J177" s="87">
        <v>1500000</v>
      </c>
      <c r="K177" s="2" t="s">
        <v>391</v>
      </c>
      <c r="L177" s="26"/>
      <c r="M177" s="26"/>
      <c r="N177" s="26"/>
      <c r="O177" s="26"/>
      <c r="P177" s="52" t="s">
        <v>401</v>
      </c>
      <c r="Q177" s="52" t="s">
        <v>263</v>
      </c>
      <c r="R177" s="25" t="s">
        <v>391</v>
      </c>
      <c r="S177" s="89" t="s">
        <v>403</v>
      </c>
      <c r="T177" s="88" t="s">
        <v>407</v>
      </c>
      <c r="U177" s="88" t="s">
        <v>408</v>
      </c>
      <c r="V177" s="88" t="s">
        <v>409</v>
      </c>
      <c r="W177" s="20"/>
      <c r="X177" s="20"/>
    </row>
    <row r="178" spans="1:24" ht="45" x14ac:dyDescent="0.25">
      <c r="A178" s="117">
        <v>1</v>
      </c>
      <c r="B178" s="39" t="s">
        <v>410</v>
      </c>
      <c r="C178" s="84" t="s">
        <v>411</v>
      </c>
      <c r="D178" s="83" t="s">
        <v>411</v>
      </c>
      <c r="E178" s="83" t="s">
        <v>413</v>
      </c>
      <c r="F178" s="84">
        <v>0</v>
      </c>
      <c r="G178" s="83"/>
      <c r="H178" s="83" t="s">
        <v>412</v>
      </c>
      <c r="I178" s="126"/>
      <c r="J178" s="85">
        <v>3200000</v>
      </c>
      <c r="K178" s="2" t="s">
        <v>410</v>
      </c>
      <c r="L178" s="26"/>
      <c r="M178" s="26"/>
      <c r="N178" s="26"/>
      <c r="O178" s="26"/>
      <c r="P178" s="52">
        <v>2013</v>
      </c>
      <c r="Q178" s="52">
        <v>2015</v>
      </c>
      <c r="R178" s="25" t="s">
        <v>414</v>
      </c>
      <c r="S178" s="89" t="s">
        <v>204</v>
      </c>
      <c r="T178" s="90"/>
      <c r="U178" s="138"/>
      <c r="V178" s="138"/>
      <c r="W178" s="20"/>
      <c r="X178" s="20"/>
    </row>
    <row r="179" spans="1:24" ht="30" x14ac:dyDescent="0.25">
      <c r="A179" s="117">
        <v>1</v>
      </c>
      <c r="B179" s="39" t="s">
        <v>410</v>
      </c>
      <c r="C179" s="84" t="s">
        <v>460</v>
      </c>
      <c r="D179" s="84" t="s">
        <v>411</v>
      </c>
      <c r="E179" s="83" t="s">
        <v>413</v>
      </c>
      <c r="F179" s="84">
        <v>0</v>
      </c>
      <c r="G179" s="83"/>
      <c r="H179" s="83" t="s">
        <v>415</v>
      </c>
      <c r="I179" s="126"/>
      <c r="J179" s="85">
        <v>2000000</v>
      </c>
      <c r="K179" s="2" t="s">
        <v>410</v>
      </c>
      <c r="L179" s="26"/>
      <c r="M179" s="26"/>
      <c r="N179" s="26"/>
      <c r="O179" s="26"/>
      <c r="P179" s="52">
        <v>2010</v>
      </c>
      <c r="Q179" s="52">
        <v>2012</v>
      </c>
      <c r="R179" s="25" t="s">
        <v>414</v>
      </c>
      <c r="S179" s="89" t="s">
        <v>416</v>
      </c>
      <c r="T179" s="90"/>
      <c r="U179" s="138"/>
      <c r="V179" s="138"/>
      <c r="W179" s="20"/>
      <c r="X179" s="20"/>
    </row>
    <row r="180" spans="1:24" ht="225" x14ac:dyDescent="0.25">
      <c r="A180" s="117">
        <v>1</v>
      </c>
      <c r="B180" s="39" t="s">
        <v>422</v>
      </c>
      <c r="C180" s="84" t="s">
        <v>417</v>
      </c>
      <c r="D180" s="91" t="s">
        <v>423</v>
      </c>
      <c r="E180" s="83" t="s">
        <v>424</v>
      </c>
      <c r="F180" s="84" t="s">
        <v>595</v>
      </c>
      <c r="G180" s="83"/>
      <c r="H180" s="84" t="s">
        <v>425</v>
      </c>
      <c r="I180" s="118" t="s">
        <v>446</v>
      </c>
      <c r="J180" s="6">
        <v>588460</v>
      </c>
      <c r="K180" s="2" t="s">
        <v>608</v>
      </c>
      <c r="L180" s="6">
        <v>1033500</v>
      </c>
      <c r="M180" s="2" t="s">
        <v>608</v>
      </c>
      <c r="N180" s="26"/>
      <c r="O180" s="26"/>
      <c r="P180" s="52">
        <v>2012</v>
      </c>
      <c r="Q180" s="52">
        <v>2015</v>
      </c>
      <c r="R180" s="25" t="s">
        <v>422</v>
      </c>
      <c r="S180" s="89" t="s">
        <v>204</v>
      </c>
      <c r="T180" s="90" t="s">
        <v>433</v>
      </c>
      <c r="U180" s="92"/>
      <c r="V180" s="54" t="s">
        <v>434</v>
      </c>
      <c r="W180" s="20"/>
      <c r="X180" s="20"/>
    </row>
    <row r="181" spans="1:24" ht="240" x14ac:dyDescent="0.25">
      <c r="A181" s="117">
        <v>2</v>
      </c>
      <c r="B181" s="39" t="s">
        <v>422</v>
      </c>
      <c r="C181" s="84" t="s">
        <v>418</v>
      </c>
      <c r="D181" s="93" t="s">
        <v>426</v>
      </c>
      <c r="E181" s="84" t="s">
        <v>427</v>
      </c>
      <c r="F181" s="84" t="s">
        <v>595</v>
      </c>
      <c r="G181" s="84"/>
      <c r="H181" s="84" t="s">
        <v>428</v>
      </c>
      <c r="I181" s="118">
        <v>3800000</v>
      </c>
      <c r="J181" s="6"/>
      <c r="K181" s="2" t="s">
        <v>608</v>
      </c>
      <c r="L181" s="34"/>
      <c r="M181" s="72"/>
      <c r="N181" s="72"/>
      <c r="O181" s="72"/>
      <c r="P181" s="52">
        <v>2010</v>
      </c>
      <c r="Q181" s="52">
        <v>2013</v>
      </c>
      <c r="R181" s="25" t="s">
        <v>422</v>
      </c>
      <c r="S181" s="94" t="s">
        <v>435</v>
      </c>
      <c r="T181" s="95" t="s">
        <v>436</v>
      </c>
      <c r="U181" s="96"/>
      <c r="V181" s="95" t="s">
        <v>437</v>
      </c>
      <c r="W181" s="20"/>
      <c r="X181" s="20"/>
    </row>
    <row r="182" spans="1:24" ht="270" x14ac:dyDescent="0.25">
      <c r="A182" s="117">
        <v>1</v>
      </c>
      <c r="B182" s="39" t="s">
        <v>422</v>
      </c>
      <c r="C182" s="84" t="s">
        <v>419</v>
      </c>
      <c r="D182" s="84" t="s">
        <v>429</v>
      </c>
      <c r="E182" s="93" t="s">
        <v>430</v>
      </c>
      <c r="F182" s="84">
        <v>0</v>
      </c>
      <c r="G182" s="93"/>
      <c r="H182" s="84" t="s">
        <v>431</v>
      </c>
      <c r="I182" s="118">
        <v>865140</v>
      </c>
      <c r="J182" s="6">
        <v>127650</v>
      </c>
      <c r="K182" s="2" t="s">
        <v>608</v>
      </c>
      <c r="L182" s="6">
        <v>737490</v>
      </c>
      <c r="M182" s="2" t="s">
        <v>608</v>
      </c>
      <c r="N182" s="72"/>
      <c r="O182" s="72"/>
      <c r="P182" s="52">
        <v>2012</v>
      </c>
      <c r="Q182" s="52">
        <v>2015</v>
      </c>
      <c r="R182" s="25" t="s">
        <v>422</v>
      </c>
      <c r="S182" s="97" t="s">
        <v>204</v>
      </c>
      <c r="T182" s="84" t="s">
        <v>438</v>
      </c>
      <c r="U182" s="98"/>
      <c r="V182" s="98"/>
      <c r="W182" s="20"/>
      <c r="X182" s="20"/>
    </row>
    <row r="183" spans="1:24" ht="60" x14ac:dyDescent="0.25">
      <c r="A183" s="117">
        <v>1</v>
      </c>
      <c r="B183" s="39" t="s">
        <v>422</v>
      </c>
      <c r="C183" s="84" t="s">
        <v>420</v>
      </c>
      <c r="D183" s="99"/>
      <c r="E183" s="84" t="s">
        <v>432</v>
      </c>
      <c r="F183" s="84" t="s">
        <v>595</v>
      </c>
      <c r="G183" s="84"/>
      <c r="H183" s="84" t="s">
        <v>229</v>
      </c>
      <c r="I183" s="84" t="s">
        <v>248</v>
      </c>
      <c r="J183" s="6"/>
      <c r="K183" s="2" t="s">
        <v>608</v>
      </c>
      <c r="L183" s="34"/>
      <c r="M183" s="72"/>
      <c r="N183" s="72"/>
      <c r="O183" s="72"/>
      <c r="P183" s="52">
        <v>2014</v>
      </c>
      <c r="Q183" s="52">
        <v>2016</v>
      </c>
      <c r="R183" s="25" t="s">
        <v>422</v>
      </c>
      <c r="S183" s="97" t="s">
        <v>439</v>
      </c>
      <c r="T183" s="93" t="s">
        <v>440</v>
      </c>
      <c r="U183" s="98"/>
      <c r="V183" s="98"/>
      <c r="W183" s="20"/>
      <c r="X183" s="20"/>
    </row>
    <row r="184" spans="1:24" ht="60" x14ac:dyDescent="0.25">
      <c r="A184" s="117">
        <v>1</v>
      </c>
      <c r="B184" s="39" t="s">
        <v>422</v>
      </c>
      <c r="C184" s="98" t="s">
        <v>421</v>
      </c>
      <c r="D184" s="96"/>
      <c r="E184" s="95" t="s">
        <v>443</v>
      </c>
      <c r="F184" s="115">
        <v>0</v>
      </c>
      <c r="G184" s="95"/>
      <c r="H184" s="97" t="s">
        <v>441</v>
      </c>
      <c r="I184" s="95" t="s">
        <v>248</v>
      </c>
      <c r="J184" s="6"/>
      <c r="K184" s="2" t="s">
        <v>608</v>
      </c>
      <c r="L184" s="34"/>
      <c r="M184" s="72"/>
      <c r="N184" s="72"/>
      <c r="O184" s="72"/>
      <c r="P184" s="52">
        <v>2014</v>
      </c>
      <c r="Q184" s="52">
        <v>2016</v>
      </c>
      <c r="R184" s="25" t="s">
        <v>422</v>
      </c>
      <c r="S184" s="97" t="s">
        <v>439</v>
      </c>
      <c r="T184" s="98"/>
      <c r="U184" s="98"/>
      <c r="V184" s="98"/>
      <c r="W184" s="20"/>
      <c r="X184" s="20"/>
    </row>
    <row r="185" spans="1:24" ht="31.5" customHeight="1" x14ac:dyDescent="0.25">
      <c r="A185" s="117">
        <v>1</v>
      </c>
      <c r="B185" s="45" t="s">
        <v>442</v>
      </c>
      <c r="C185" s="72" t="s">
        <v>462</v>
      </c>
      <c r="D185" s="72"/>
      <c r="E185" s="25" t="s">
        <v>413</v>
      </c>
      <c r="F185" s="25">
        <v>0</v>
      </c>
      <c r="G185" s="25"/>
      <c r="H185" s="25" t="s">
        <v>463</v>
      </c>
      <c r="I185" s="6"/>
      <c r="J185" s="6">
        <v>1500000</v>
      </c>
      <c r="K185" s="25" t="s">
        <v>463</v>
      </c>
      <c r="L185" s="23"/>
      <c r="M185" s="26"/>
      <c r="N185" s="26"/>
      <c r="O185" s="26"/>
      <c r="P185" s="67"/>
      <c r="Q185" s="67"/>
      <c r="R185" s="25" t="s">
        <v>463</v>
      </c>
      <c r="S185" s="26"/>
      <c r="T185" s="26"/>
      <c r="U185" s="138"/>
      <c r="V185" s="138"/>
      <c r="W185" s="20"/>
      <c r="X185" s="20"/>
    </row>
    <row r="186" spans="1:24" ht="105" x14ac:dyDescent="0.25">
      <c r="A186" s="117">
        <v>1</v>
      </c>
      <c r="B186" s="39" t="s">
        <v>442</v>
      </c>
      <c r="C186" s="119" t="s">
        <v>464</v>
      </c>
      <c r="D186" s="72"/>
      <c r="E186" s="25" t="s">
        <v>413</v>
      </c>
      <c r="F186" s="25">
        <v>0</v>
      </c>
      <c r="G186" s="25"/>
      <c r="H186" s="25" t="s">
        <v>463</v>
      </c>
      <c r="I186" s="6"/>
      <c r="J186" s="6">
        <v>300000</v>
      </c>
      <c r="K186" s="2" t="s">
        <v>463</v>
      </c>
      <c r="L186" s="23"/>
      <c r="M186" s="26"/>
      <c r="N186" s="26"/>
      <c r="O186" s="26"/>
      <c r="P186" s="15" t="s">
        <v>188</v>
      </c>
      <c r="Q186" s="15" t="s">
        <v>222</v>
      </c>
      <c r="R186" s="25" t="s">
        <v>463</v>
      </c>
      <c r="S186" s="25"/>
      <c r="T186" s="25" t="s">
        <v>465</v>
      </c>
      <c r="U186" s="138"/>
      <c r="V186" s="138"/>
      <c r="W186" s="20"/>
      <c r="X186" s="20"/>
    </row>
    <row r="187" spans="1:24" ht="60" x14ac:dyDescent="0.25">
      <c r="A187" s="117">
        <v>4</v>
      </c>
      <c r="B187" s="37" t="s">
        <v>220</v>
      </c>
      <c r="C187" s="84" t="s">
        <v>466</v>
      </c>
      <c r="D187" s="84" t="s">
        <v>466</v>
      </c>
      <c r="E187" s="84" t="s">
        <v>413</v>
      </c>
      <c r="F187" s="84">
        <v>0</v>
      </c>
      <c r="G187" s="84"/>
      <c r="H187" s="84" t="s">
        <v>467</v>
      </c>
      <c r="I187" s="84" t="s">
        <v>248</v>
      </c>
      <c r="J187" s="6">
        <v>14960000</v>
      </c>
      <c r="K187" s="123" t="s">
        <v>220</v>
      </c>
      <c r="L187" s="6">
        <v>12644878</v>
      </c>
      <c r="M187" s="123" t="s">
        <v>220</v>
      </c>
      <c r="N187" s="72"/>
      <c r="O187" s="72"/>
      <c r="P187" s="52">
        <v>2013</v>
      </c>
      <c r="Q187" s="52">
        <v>2014</v>
      </c>
      <c r="R187" s="25" t="s">
        <v>220</v>
      </c>
      <c r="S187" s="97" t="s">
        <v>439</v>
      </c>
      <c r="T187" s="93" t="s">
        <v>440</v>
      </c>
      <c r="U187" s="98"/>
      <c r="V187" s="98"/>
      <c r="W187" s="20"/>
      <c r="X187" s="20"/>
    </row>
    <row r="188" spans="1:24" ht="135" x14ac:dyDescent="0.25">
      <c r="A188" s="117">
        <v>4</v>
      </c>
      <c r="B188" s="37" t="s">
        <v>485</v>
      </c>
      <c r="C188" s="84" t="s">
        <v>489</v>
      </c>
      <c r="D188" s="84" t="s">
        <v>563</v>
      </c>
      <c r="E188" s="84" t="s">
        <v>413</v>
      </c>
      <c r="F188" s="84">
        <v>0</v>
      </c>
      <c r="G188" s="84"/>
      <c r="H188" s="84" t="s">
        <v>487</v>
      </c>
      <c r="I188" s="84" t="s">
        <v>248</v>
      </c>
      <c r="J188" s="6">
        <v>13200000</v>
      </c>
      <c r="K188" s="25" t="s">
        <v>486</v>
      </c>
      <c r="L188" s="6"/>
      <c r="M188" s="72"/>
      <c r="N188" s="72"/>
      <c r="O188" s="72"/>
      <c r="P188" s="52">
        <v>2012</v>
      </c>
      <c r="Q188" s="52">
        <v>2015</v>
      </c>
      <c r="R188" s="25" t="s">
        <v>486</v>
      </c>
      <c r="S188" s="97" t="s">
        <v>204</v>
      </c>
      <c r="T188" s="84" t="s">
        <v>488</v>
      </c>
      <c r="U188" s="98"/>
      <c r="V188" s="98"/>
      <c r="W188" s="20"/>
      <c r="X188" s="20"/>
    </row>
    <row r="189" spans="1:24" ht="75" x14ac:dyDescent="0.25">
      <c r="A189" s="117">
        <v>2</v>
      </c>
      <c r="B189" s="37" t="s">
        <v>499</v>
      </c>
      <c r="C189" s="84" t="s">
        <v>504</v>
      </c>
      <c r="D189" s="84" t="s">
        <v>500</v>
      </c>
      <c r="E189" s="84" t="s">
        <v>503</v>
      </c>
      <c r="F189" s="84">
        <v>0</v>
      </c>
      <c r="G189" s="84"/>
      <c r="H189" s="84" t="s">
        <v>501</v>
      </c>
      <c r="I189" s="6">
        <f>14000000*1.3</f>
        <v>18200000</v>
      </c>
      <c r="J189" s="6">
        <f>14000000*1.3</f>
        <v>18200000</v>
      </c>
      <c r="K189" s="25" t="s">
        <v>508</v>
      </c>
      <c r="L189" s="6"/>
      <c r="M189" s="72"/>
      <c r="N189" s="72"/>
      <c r="O189" s="72"/>
      <c r="P189" s="52">
        <v>2008</v>
      </c>
      <c r="Q189" s="52">
        <v>2014</v>
      </c>
      <c r="R189" s="25" t="s">
        <v>508</v>
      </c>
      <c r="S189" s="97" t="s">
        <v>204</v>
      </c>
      <c r="T189" s="84" t="s">
        <v>502</v>
      </c>
      <c r="U189" s="98"/>
      <c r="V189" s="98"/>
      <c r="W189" s="20"/>
      <c r="X189" s="20"/>
    </row>
    <row r="190" spans="1:24" ht="135" x14ac:dyDescent="0.25">
      <c r="A190" s="117">
        <v>3</v>
      </c>
      <c r="B190" s="37" t="s">
        <v>499</v>
      </c>
      <c r="C190" s="84" t="s">
        <v>505</v>
      </c>
      <c r="D190" s="84" t="s">
        <v>500</v>
      </c>
      <c r="E190" s="84" t="s">
        <v>413</v>
      </c>
      <c r="F190" s="84">
        <v>0</v>
      </c>
      <c r="G190" s="84"/>
      <c r="H190" s="84" t="s">
        <v>511</v>
      </c>
      <c r="I190" s="6">
        <f>19500000*1.3</f>
        <v>25350000</v>
      </c>
      <c r="J190" s="6">
        <f>19500000*1.3</f>
        <v>25350000</v>
      </c>
      <c r="K190" s="25" t="s">
        <v>508</v>
      </c>
      <c r="L190" s="6"/>
      <c r="M190" s="72"/>
      <c r="N190" s="72"/>
      <c r="O190" s="72"/>
      <c r="P190" s="52">
        <v>2009</v>
      </c>
      <c r="Q190" s="52">
        <v>2013</v>
      </c>
      <c r="R190" s="25" t="s">
        <v>506</v>
      </c>
      <c r="S190" s="97" t="s">
        <v>204</v>
      </c>
      <c r="T190" s="84" t="s">
        <v>507</v>
      </c>
      <c r="U190" s="98"/>
      <c r="V190" s="98"/>
      <c r="W190" s="20"/>
      <c r="X190" s="20"/>
    </row>
    <row r="191" spans="1:24" ht="90" x14ac:dyDescent="0.25">
      <c r="A191" s="117">
        <v>6</v>
      </c>
      <c r="B191" s="37" t="s">
        <v>499</v>
      </c>
      <c r="C191" s="84" t="s">
        <v>509</v>
      </c>
      <c r="D191" s="84" t="s">
        <v>510</v>
      </c>
      <c r="E191" s="84" t="s">
        <v>413</v>
      </c>
      <c r="F191" s="84">
        <v>0</v>
      </c>
      <c r="G191" s="84"/>
      <c r="H191" s="84" t="s">
        <v>512</v>
      </c>
      <c r="I191" s="6">
        <f>5500000*1.3</f>
        <v>7150000</v>
      </c>
      <c r="J191" s="6">
        <f t="shared" ref="J191:J197" si="5">I191</f>
        <v>7150000</v>
      </c>
      <c r="K191" s="25" t="s">
        <v>508</v>
      </c>
      <c r="L191" s="6"/>
      <c r="M191" s="72"/>
      <c r="N191" s="72"/>
      <c r="O191" s="72"/>
      <c r="P191" s="52">
        <v>2009</v>
      </c>
      <c r="Q191" s="52">
        <v>2014</v>
      </c>
      <c r="R191" s="25" t="s">
        <v>506</v>
      </c>
      <c r="S191" s="97" t="s">
        <v>204</v>
      </c>
      <c r="T191" s="84" t="s">
        <v>510</v>
      </c>
      <c r="U191" s="98"/>
      <c r="V191" s="98"/>
      <c r="W191" s="20"/>
      <c r="X191" s="20"/>
    </row>
    <row r="192" spans="1:24" ht="45" x14ac:dyDescent="0.25">
      <c r="A192" s="117">
        <v>3</v>
      </c>
      <c r="B192" s="37" t="s">
        <v>499</v>
      </c>
      <c r="C192" s="84" t="s">
        <v>617</v>
      </c>
      <c r="D192" s="84" t="s">
        <v>513</v>
      </c>
      <c r="E192" s="84" t="s">
        <v>413</v>
      </c>
      <c r="F192" s="84">
        <v>0</v>
      </c>
      <c r="G192" s="84"/>
      <c r="H192" s="84" t="s">
        <v>223</v>
      </c>
      <c r="I192" s="6">
        <f>15000000*1.3</f>
        <v>19500000</v>
      </c>
      <c r="J192" s="6">
        <f t="shared" si="5"/>
        <v>19500000</v>
      </c>
      <c r="K192" s="25" t="s">
        <v>508</v>
      </c>
      <c r="L192" s="6"/>
      <c r="M192" s="72"/>
      <c r="N192" s="72"/>
      <c r="O192" s="72"/>
      <c r="P192" s="52">
        <v>2011</v>
      </c>
      <c r="Q192" s="52">
        <v>2014</v>
      </c>
      <c r="R192" s="25" t="s">
        <v>514</v>
      </c>
      <c r="S192" s="97" t="s">
        <v>204</v>
      </c>
      <c r="T192" s="84" t="s">
        <v>547</v>
      </c>
      <c r="U192" s="98"/>
      <c r="V192" s="98"/>
      <c r="W192" s="20"/>
      <c r="X192" s="20"/>
    </row>
    <row r="193" spans="1:123" ht="90" x14ac:dyDescent="0.25">
      <c r="A193" s="117">
        <v>3</v>
      </c>
      <c r="B193" s="37" t="s">
        <v>499</v>
      </c>
      <c r="C193" s="84" t="s">
        <v>515</v>
      </c>
      <c r="D193" s="84" t="s">
        <v>516</v>
      </c>
      <c r="E193" s="84" t="s">
        <v>519</v>
      </c>
      <c r="F193" s="84">
        <v>4</v>
      </c>
      <c r="G193" s="84"/>
      <c r="H193" s="84" t="s">
        <v>517</v>
      </c>
      <c r="I193" s="6">
        <f>17000000*1.3</f>
        <v>22100000</v>
      </c>
      <c r="J193" s="6">
        <f t="shared" si="5"/>
        <v>22100000</v>
      </c>
      <c r="K193" s="25" t="s">
        <v>518</v>
      </c>
      <c r="L193" s="6"/>
      <c r="M193" s="72"/>
      <c r="N193" s="72"/>
      <c r="O193" s="72"/>
      <c r="P193" s="52">
        <v>2013</v>
      </c>
      <c r="Q193" s="52">
        <v>2017</v>
      </c>
      <c r="R193" s="25" t="s">
        <v>514</v>
      </c>
      <c r="S193" s="97" t="s">
        <v>204</v>
      </c>
      <c r="T193" s="84" t="s">
        <v>520</v>
      </c>
      <c r="U193" s="98"/>
      <c r="V193" s="98"/>
      <c r="W193" s="20"/>
      <c r="X193" s="20"/>
    </row>
    <row r="194" spans="1:123" ht="90" x14ac:dyDescent="0.25">
      <c r="A194" s="117">
        <v>3</v>
      </c>
      <c r="B194" s="37" t="s">
        <v>499</v>
      </c>
      <c r="C194" s="84" t="s">
        <v>521</v>
      </c>
      <c r="D194" s="84" t="s">
        <v>522</v>
      </c>
      <c r="E194" s="84" t="s">
        <v>525</v>
      </c>
      <c r="F194" s="84">
        <v>0</v>
      </c>
      <c r="G194" s="84"/>
      <c r="H194" s="84" t="s">
        <v>523</v>
      </c>
      <c r="I194" s="6">
        <f>(6000000*1.3)/5</f>
        <v>1560000</v>
      </c>
      <c r="J194" s="6">
        <f t="shared" si="5"/>
        <v>1560000</v>
      </c>
      <c r="K194" s="25" t="s">
        <v>514</v>
      </c>
      <c r="L194" s="6"/>
      <c r="M194" s="72"/>
      <c r="N194" s="72"/>
      <c r="O194" s="72"/>
      <c r="P194" s="52">
        <v>2010</v>
      </c>
      <c r="Q194" s="52">
        <v>2016</v>
      </c>
      <c r="R194" s="25" t="s">
        <v>514</v>
      </c>
      <c r="S194" s="97" t="s">
        <v>204</v>
      </c>
      <c r="T194" s="84" t="s">
        <v>524</v>
      </c>
      <c r="U194" s="98"/>
      <c r="V194" s="98"/>
      <c r="W194" s="20"/>
      <c r="X194" s="20"/>
    </row>
    <row r="195" spans="1:123" ht="60" x14ac:dyDescent="0.25">
      <c r="A195" s="117">
        <v>3</v>
      </c>
      <c r="B195" s="37" t="s">
        <v>499</v>
      </c>
      <c r="C195" s="84" t="s">
        <v>526</v>
      </c>
      <c r="D195" s="84" t="s">
        <v>539</v>
      </c>
      <c r="E195" s="84" t="s">
        <v>525</v>
      </c>
      <c r="F195" s="84">
        <v>0</v>
      </c>
      <c r="G195" s="84"/>
      <c r="H195" s="84" t="s">
        <v>527</v>
      </c>
      <c r="I195" s="6">
        <f>(5780000*1.3)/3</f>
        <v>2504666.6666666665</v>
      </c>
      <c r="J195" s="6">
        <f t="shared" si="5"/>
        <v>2504666.6666666665</v>
      </c>
      <c r="K195" s="25" t="s">
        <v>541</v>
      </c>
      <c r="L195" s="6"/>
      <c r="M195" s="72"/>
      <c r="N195" s="72"/>
      <c r="O195" s="72"/>
      <c r="P195" s="52">
        <v>2010</v>
      </c>
      <c r="Q195" s="52">
        <v>2017</v>
      </c>
      <c r="R195" s="25" t="s">
        <v>514</v>
      </c>
      <c r="S195" s="97" t="s">
        <v>204</v>
      </c>
      <c r="T195" s="84" t="s">
        <v>540</v>
      </c>
      <c r="U195" s="98"/>
      <c r="V195" s="98"/>
      <c r="W195" s="20"/>
      <c r="X195" s="20"/>
    </row>
    <row r="196" spans="1:123" ht="30" x14ac:dyDescent="0.25">
      <c r="A196" s="117">
        <v>4</v>
      </c>
      <c r="B196" s="37" t="s">
        <v>499</v>
      </c>
      <c r="C196" s="84" t="s">
        <v>542</v>
      </c>
      <c r="D196" s="84" t="s">
        <v>543</v>
      </c>
      <c r="E196" s="84" t="s">
        <v>525</v>
      </c>
      <c r="F196" s="84">
        <v>0</v>
      </c>
      <c r="G196" s="84"/>
      <c r="H196" s="84" t="s">
        <v>534</v>
      </c>
      <c r="I196" s="6">
        <f>(4500000*1.3)</f>
        <v>5850000</v>
      </c>
      <c r="J196" s="6">
        <f t="shared" si="5"/>
        <v>5850000</v>
      </c>
      <c r="K196" s="25" t="s">
        <v>499</v>
      </c>
      <c r="L196" s="6"/>
      <c r="M196" s="72"/>
      <c r="N196" s="72"/>
      <c r="O196" s="72"/>
      <c r="P196" s="52">
        <v>2009</v>
      </c>
      <c r="Q196" s="52">
        <v>2015</v>
      </c>
      <c r="R196" s="25" t="s">
        <v>514</v>
      </c>
      <c r="S196" s="97" t="s">
        <v>204</v>
      </c>
      <c r="T196" s="84"/>
      <c r="U196" s="98"/>
      <c r="V196" s="98"/>
      <c r="W196" s="20"/>
      <c r="X196" s="20"/>
    </row>
    <row r="197" spans="1:123" ht="60" x14ac:dyDescent="0.25">
      <c r="A197" s="117">
        <v>4</v>
      </c>
      <c r="B197" s="37" t="s">
        <v>499</v>
      </c>
      <c r="C197" s="84" t="s">
        <v>544</v>
      </c>
      <c r="D197" s="84" t="s">
        <v>546</v>
      </c>
      <c r="E197" s="84" t="s">
        <v>525</v>
      </c>
      <c r="F197" s="84">
        <v>0</v>
      </c>
      <c r="G197" s="84"/>
      <c r="H197" s="84" t="s">
        <v>545</v>
      </c>
      <c r="I197" s="6">
        <f>(10000000*1.3)</f>
        <v>13000000</v>
      </c>
      <c r="J197" s="6">
        <f t="shared" si="5"/>
        <v>13000000</v>
      </c>
      <c r="K197" s="25" t="s">
        <v>499</v>
      </c>
      <c r="L197" s="6"/>
      <c r="M197" s="72"/>
      <c r="N197" s="72"/>
      <c r="O197" s="72"/>
      <c r="P197" s="52">
        <v>2009</v>
      </c>
      <c r="Q197" s="52">
        <v>2015</v>
      </c>
      <c r="R197" s="25" t="s">
        <v>514</v>
      </c>
      <c r="S197" s="97" t="s">
        <v>204</v>
      </c>
      <c r="T197" s="84"/>
      <c r="U197" s="98"/>
      <c r="V197" s="98"/>
      <c r="W197" s="20"/>
      <c r="X197" s="20"/>
    </row>
    <row r="198" spans="1:123" ht="90" x14ac:dyDescent="0.25">
      <c r="A198" s="117">
        <v>1</v>
      </c>
      <c r="B198" s="37" t="s">
        <v>499</v>
      </c>
      <c r="C198" s="84" t="s">
        <v>528</v>
      </c>
      <c r="D198" s="84" t="s">
        <v>529</v>
      </c>
      <c r="E198" s="84" t="s">
        <v>413</v>
      </c>
      <c r="F198" s="84">
        <v>0</v>
      </c>
      <c r="G198" s="84"/>
      <c r="H198" s="84" t="s">
        <v>532</v>
      </c>
      <c r="I198" s="6">
        <f>5500000*1.3</f>
        <v>7150000</v>
      </c>
      <c r="J198" s="26"/>
      <c r="K198" s="25"/>
      <c r="L198" s="6">
        <f>I198</f>
        <v>7150000</v>
      </c>
      <c r="M198" s="25" t="s">
        <v>508</v>
      </c>
      <c r="N198" s="72"/>
      <c r="O198" s="72"/>
      <c r="P198" s="52">
        <v>2012</v>
      </c>
      <c r="Q198" s="52">
        <v>2015</v>
      </c>
      <c r="R198" s="25" t="s">
        <v>531</v>
      </c>
      <c r="S198" s="97" t="s">
        <v>536</v>
      </c>
      <c r="T198" s="84" t="s">
        <v>530</v>
      </c>
      <c r="U198" s="98"/>
      <c r="V198" s="98"/>
      <c r="W198" s="20"/>
      <c r="X198" s="20"/>
    </row>
    <row r="199" spans="1:123" ht="135" x14ac:dyDescent="0.25">
      <c r="A199" s="117">
        <v>3</v>
      </c>
      <c r="B199" s="37" t="s">
        <v>499</v>
      </c>
      <c r="C199" s="84" t="s">
        <v>533</v>
      </c>
      <c r="D199" s="84" t="s">
        <v>535</v>
      </c>
      <c r="E199" s="84" t="s">
        <v>525</v>
      </c>
      <c r="F199" s="84">
        <v>0</v>
      </c>
      <c r="G199" s="84"/>
      <c r="H199" s="84" t="s">
        <v>534</v>
      </c>
      <c r="I199" s="6">
        <f>4500000*1.3</f>
        <v>5850000</v>
      </c>
      <c r="J199" s="26"/>
      <c r="K199" s="25"/>
      <c r="L199" s="6">
        <f>I199</f>
        <v>5850000</v>
      </c>
      <c r="M199" s="25" t="s">
        <v>508</v>
      </c>
      <c r="N199" s="72"/>
      <c r="O199" s="72"/>
      <c r="P199" s="52">
        <v>2012</v>
      </c>
      <c r="Q199" s="52">
        <v>2015</v>
      </c>
      <c r="R199" s="25" t="s">
        <v>531</v>
      </c>
      <c r="S199" s="97" t="s">
        <v>536</v>
      </c>
      <c r="T199" s="84" t="s">
        <v>537</v>
      </c>
      <c r="U199" s="98"/>
      <c r="V199" s="98"/>
      <c r="W199" s="20"/>
      <c r="X199" s="20"/>
    </row>
    <row r="200" spans="1:123" ht="135" x14ac:dyDescent="0.25">
      <c r="A200" s="117">
        <v>3</v>
      </c>
      <c r="B200" s="37" t="s">
        <v>499</v>
      </c>
      <c r="C200" s="84" t="s">
        <v>538</v>
      </c>
      <c r="D200" s="84" t="s">
        <v>535</v>
      </c>
      <c r="E200" s="84" t="s">
        <v>525</v>
      </c>
      <c r="F200" s="84">
        <v>0</v>
      </c>
      <c r="G200" s="84"/>
      <c r="H200" s="84" t="s">
        <v>534</v>
      </c>
      <c r="I200" s="6">
        <f>4500000*1.3</f>
        <v>5850000</v>
      </c>
      <c r="J200" s="26"/>
      <c r="K200" s="25"/>
      <c r="L200" s="6">
        <f>I200</f>
        <v>5850000</v>
      </c>
      <c r="M200" s="25" t="s">
        <v>508</v>
      </c>
      <c r="N200" s="72"/>
      <c r="O200" s="72"/>
      <c r="P200" s="52">
        <v>2012</v>
      </c>
      <c r="Q200" s="52">
        <v>2015</v>
      </c>
      <c r="R200" s="25" t="s">
        <v>531</v>
      </c>
      <c r="S200" s="97" t="s">
        <v>536</v>
      </c>
      <c r="T200" s="84" t="s">
        <v>537</v>
      </c>
      <c r="U200" s="98"/>
      <c r="V200" s="98"/>
      <c r="W200" s="20"/>
      <c r="X200" s="20"/>
    </row>
    <row r="201" spans="1:123" ht="270" x14ac:dyDescent="0.25">
      <c r="A201" s="117">
        <v>1</v>
      </c>
      <c r="B201" s="38" t="s">
        <v>499</v>
      </c>
      <c r="C201" s="100" t="s">
        <v>548</v>
      </c>
      <c r="D201" s="100" t="s">
        <v>549</v>
      </c>
      <c r="E201" s="100" t="s">
        <v>525</v>
      </c>
      <c r="F201" s="100">
        <v>0</v>
      </c>
      <c r="G201" s="100"/>
      <c r="H201" s="100" t="s">
        <v>22</v>
      </c>
      <c r="I201" s="41">
        <f>(40000000*1.3)/4</f>
        <v>13000000</v>
      </c>
      <c r="J201" s="102"/>
      <c r="K201" s="3"/>
      <c r="L201" s="41">
        <f>I201</f>
        <v>13000000</v>
      </c>
      <c r="M201" s="101" t="s">
        <v>514</v>
      </c>
      <c r="N201" s="103"/>
      <c r="O201" s="103"/>
      <c r="P201" s="104">
        <v>2014</v>
      </c>
      <c r="Q201" s="104">
        <v>2017</v>
      </c>
      <c r="R201" s="101" t="s">
        <v>22</v>
      </c>
      <c r="S201" s="105" t="s">
        <v>536</v>
      </c>
      <c r="T201" s="100" t="s">
        <v>550</v>
      </c>
      <c r="U201" s="98"/>
      <c r="V201" s="98"/>
      <c r="W201" s="20"/>
      <c r="X201" s="20"/>
    </row>
    <row r="202" spans="1:123" s="5" customFormat="1" ht="105" x14ac:dyDescent="0.25">
      <c r="A202" s="117">
        <v>3</v>
      </c>
      <c r="B202" s="39" t="s">
        <v>552</v>
      </c>
      <c r="C202" s="84" t="s">
        <v>553</v>
      </c>
      <c r="D202" s="83" t="s">
        <v>554</v>
      </c>
      <c r="E202" s="84" t="s">
        <v>555</v>
      </c>
      <c r="F202" s="84">
        <v>4</v>
      </c>
      <c r="G202" s="85">
        <v>13400000</v>
      </c>
      <c r="H202" s="84" t="s">
        <v>556</v>
      </c>
      <c r="I202" s="85">
        <v>13400000</v>
      </c>
      <c r="J202" s="6">
        <f>I202</f>
        <v>13400000</v>
      </c>
      <c r="K202" s="2" t="s">
        <v>552</v>
      </c>
      <c r="L202" s="26"/>
      <c r="M202" s="26"/>
      <c r="N202" s="26"/>
      <c r="O202" s="26"/>
      <c r="P202" s="52">
        <v>2005</v>
      </c>
      <c r="Q202" s="52">
        <v>2012</v>
      </c>
      <c r="R202" s="2" t="s">
        <v>552</v>
      </c>
      <c r="S202" s="52" t="s">
        <v>416</v>
      </c>
      <c r="T202" s="90" t="s">
        <v>557</v>
      </c>
      <c r="U202" s="138"/>
      <c r="V202" s="138"/>
      <c r="W202" s="20"/>
      <c r="X202" s="20"/>
      <c r="Y202" s="20"/>
      <c r="Z202" s="20"/>
      <c r="AA202" s="20"/>
      <c r="AB202" s="20"/>
      <c r="AC202" s="20"/>
      <c r="AD202" s="20"/>
      <c r="AE202" s="20"/>
      <c r="AF202" s="20"/>
      <c r="AG202" s="20"/>
      <c r="AH202" s="20"/>
      <c r="AI202" s="20"/>
      <c r="AJ202" s="20"/>
      <c r="AK202" s="20"/>
      <c r="AL202" s="20"/>
      <c r="AM202" s="20"/>
      <c r="AN202" s="20"/>
      <c r="AO202" s="20"/>
      <c r="AP202" s="20"/>
      <c r="AQ202" s="20"/>
      <c r="AR202" s="20"/>
      <c r="AS202" s="20"/>
      <c r="AT202" s="20"/>
      <c r="AU202" s="20"/>
      <c r="AV202" s="20"/>
      <c r="AW202" s="20"/>
      <c r="AX202" s="20"/>
      <c r="AY202" s="20"/>
      <c r="AZ202" s="20"/>
      <c r="BA202" s="20"/>
      <c r="BB202" s="20"/>
      <c r="BC202" s="20"/>
      <c r="BD202" s="20"/>
      <c r="BE202" s="20"/>
      <c r="BF202" s="20"/>
      <c r="BG202" s="20"/>
      <c r="BH202" s="20"/>
      <c r="BI202" s="20"/>
      <c r="BJ202" s="20"/>
      <c r="BK202" s="20"/>
      <c r="BL202" s="20"/>
      <c r="BM202" s="20"/>
      <c r="BN202" s="20"/>
      <c r="BO202" s="20"/>
      <c r="BP202" s="20"/>
      <c r="BQ202" s="20"/>
      <c r="BR202" s="20"/>
      <c r="BS202" s="20"/>
      <c r="BT202" s="20"/>
      <c r="BU202" s="20"/>
      <c r="BV202" s="20"/>
      <c r="BW202" s="20"/>
      <c r="BX202" s="20"/>
      <c r="BY202" s="20"/>
      <c r="BZ202" s="20"/>
      <c r="CA202" s="20"/>
      <c r="CB202" s="20"/>
      <c r="CC202" s="20"/>
      <c r="CD202" s="20"/>
      <c r="CE202" s="20"/>
      <c r="CF202" s="20"/>
      <c r="CG202" s="20"/>
      <c r="CH202" s="20"/>
      <c r="CI202" s="20"/>
      <c r="CJ202" s="20"/>
      <c r="CK202" s="20"/>
      <c r="CL202" s="20"/>
      <c r="CM202" s="20"/>
      <c r="CN202" s="20"/>
      <c r="CO202" s="20"/>
      <c r="CP202" s="20"/>
      <c r="CQ202" s="20"/>
      <c r="CR202" s="20"/>
      <c r="CS202" s="20"/>
      <c r="CT202" s="20"/>
      <c r="CU202" s="20"/>
      <c r="CV202" s="20"/>
      <c r="CW202" s="20"/>
      <c r="CX202" s="20"/>
      <c r="CY202" s="20"/>
      <c r="CZ202" s="20"/>
      <c r="DA202" s="20"/>
      <c r="DB202" s="20"/>
      <c r="DC202" s="20"/>
      <c r="DD202" s="20"/>
      <c r="DE202" s="20"/>
      <c r="DF202" s="20"/>
      <c r="DG202" s="20"/>
      <c r="DH202" s="20"/>
      <c r="DI202" s="20"/>
      <c r="DJ202" s="20"/>
      <c r="DK202" s="20"/>
      <c r="DL202" s="20"/>
      <c r="DM202" s="20"/>
      <c r="DN202" s="20"/>
      <c r="DO202" s="20"/>
      <c r="DP202" s="20"/>
      <c r="DQ202" s="20"/>
      <c r="DR202" s="20"/>
      <c r="DS202" s="20"/>
    </row>
    <row r="203" spans="1:123" s="5" customFormat="1" ht="0.6" customHeight="1" x14ac:dyDescent="0.3">
      <c r="A203" s="117">
        <v>4</v>
      </c>
      <c r="B203" s="39" t="s">
        <v>552</v>
      </c>
      <c r="C203" s="84" t="s">
        <v>558</v>
      </c>
      <c r="D203" s="83" t="s">
        <v>559</v>
      </c>
      <c r="E203" s="84" t="s">
        <v>562</v>
      </c>
      <c r="F203" s="84">
        <v>0</v>
      </c>
      <c r="G203" s="85">
        <v>85000000</v>
      </c>
      <c r="H203" s="84" t="s">
        <v>560</v>
      </c>
      <c r="I203" s="85">
        <v>85000000</v>
      </c>
      <c r="J203" s="6">
        <f>I203</f>
        <v>85000000</v>
      </c>
      <c r="K203" s="2" t="s">
        <v>552</v>
      </c>
      <c r="L203" s="26"/>
      <c r="M203" s="26"/>
      <c r="N203" s="26"/>
      <c r="O203" s="26"/>
      <c r="P203" s="52">
        <v>2010</v>
      </c>
      <c r="Q203" s="52">
        <v>2015</v>
      </c>
      <c r="R203" s="2" t="s">
        <v>552</v>
      </c>
      <c r="S203" s="89" t="s">
        <v>204</v>
      </c>
      <c r="T203" s="90" t="s">
        <v>559</v>
      </c>
      <c r="U203" s="138"/>
      <c r="V203" s="138" t="s">
        <v>561</v>
      </c>
      <c r="W203" s="20"/>
      <c r="X203" s="20"/>
      <c r="Y203" s="20"/>
      <c r="Z203" s="20"/>
      <c r="AA203" s="20"/>
      <c r="AB203" s="20"/>
      <c r="AC203" s="20"/>
      <c r="AD203" s="20"/>
      <c r="AE203" s="20"/>
      <c r="AF203" s="20"/>
      <c r="AG203" s="20"/>
      <c r="AH203" s="20"/>
      <c r="AI203" s="20"/>
      <c r="AJ203" s="20"/>
      <c r="AK203" s="20"/>
      <c r="AL203" s="20"/>
      <c r="AM203" s="20"/>
      <c r="AN203" s="20"/>
      <c r="AO203" s="20"/>
      <c r="AP203" s="20"/>
      <c r="AQ203" s="20"/>
      <c r="AR203" s="20"/>
      <c r="AS203" s="20"/>
      <c r="AT203" s="20"/>
      <c r="AU203" s="20"/>
      <c r="AV203" s="20"/>
      <c r="AW203" s="20"/>
      <c r="AX203" s="20"/>
      <c r="AY203" s="20"/>
      <c r="AZ203" s="20"/>
      <c r="BA203" s="20"/>
      <c r="BB203" s="20"/>
      <c r="BC203" s="20"/>
      <c r="BD203" s="20"/>
      <c r="BE203" s="20"/>
      <c r="BF203" s="20"/>
      <c r="BG203" s="20"/>
      <c r="BH203" s="20"/>
      <c r="BI203" s="20"/>
      <c r="BJ203" s="20"/>
      <c r="BK203" s="20"/>
      <c r="BL203" s="20"/>
      <c r="BM203" s="20"/>
      <c r="BN203" s="20"/>
      <c r="BO203" s="20"/>
      <c r="BP203" s="20"/>
      <c r="BQ203" s="20"/>
      <c r="BR203" s="20"/>
      <c r="BS203" s="20"/>
      <c r="BT203" s="20"/>
      <c r="BU203" s="20"/>
      <c r="BV203" s="20"/>
      <c r="BW203" s="20"/>
      <c r="BX203" s="20"/>
      <c r="BY203" s="20"/>
      <c r="BZ203" s="20"/>
      <c r="CA203" s="20"/>
      <c r="CB203" s="20"/>
      <c r="CC203" s="20"/>
      <c r="CD203" s="20"/>
      <c r="CE203" s="20"/>
      <c r="CF203" s="20"/>
      <c r="CG203" s="20"/>
      <c r="CH203" s="20"/>
      <c r="CI203" s="20"/>
      <c r="CJ203" s="20"/>
      <c r="CK203" s="20"/>
      <c r="CL203" s="20"/>
      <c r="CM203" s="20"/>
      <c r="CN203" s="20"/>
      <c r="CO203" s="20"/>
      <c r="CP203" s="20"/>
      <c r="CQ203" s="20"/>
      <c r="CR203" s="20"/>
      <c r="CS203" s="20"/>
      <c r="CT203" s="20"/>
      <c r="CU203" s="20"/>
      <c r="CV203" s="20"/>
      <c r="CW203" s="20"/>
      <c r="CX203" s="20"/>
      <c r="CY203" s="20"/>
      <c r="CZ203" s="20"/>
      <c r="DA203" s="20"/>
      <c r="DB203" s="20"/>
      <c r="DC203" s="20"/>
      <c r="DD203" s="20"/>
      <c r="DE203" s="20"/>
      <c r="DF203" s="20"/>
      <c r="DG203" s="20"/>
      <c r="DH203" s="20"/>
      <c r="DI203" s="20"/>
      <c r="DJ203" s="20"/>
      <c r="DK203" s="20"/>
      <c r="DL203" s="20"/>
      <c r="DM203" s="20"/>
      <c r="DN203" s="20"/>
      <c r="DO203" s="20"/>
      <c r="DP203" s="20"/>
      <c r="DQ203" s="20"/>
      <c r="DR203" s="20"/>
      <c r="DS203" s="20"/>
    </row>
    <row r="204" spans="1:123" ht="60" x14ac:dyDescent="0.25">
      <c r="A204" s="117">
        <v>1</v>
      </c>
      <c r="B204" s="39" t="s">
        <v>22</v>
      </c>
      <c r="C204" s="28" t="s">
        <v>570</v>
      </c>
      <c r="D204" s="27" t="s">
        <v>571</v>
      </c>
      <c r="E204" s="28" t="s">
        <v>413</v>
      </c>
      <c r="F204" s="28">
        <v>0</v>
      </c>
      <c r="G204" s="27"/>
      <c r="H204" s="27" t="s">
        <v>229</v>
      </c>
      <c r="I204" s="29">
        <v>60000000</v>
      </c>
      <c r="J204" s="6">
        <v>60000000</v>
      </c>
      <c r="K204" s="2" t="s">
        <v>22</v>
      </c>
      <c r="L204" s="5"/>
      <c r="M204" s="5"/>
      <c r="N204" s="5"/>
      <c r="O204" s="5"/>
      <c r="P204" s="1">
        <v>2011</v>
      </c>
      <c r="Q204" s="1"/>
      <c r="R204" s="2" t="s">
        <v>22</v>
      </c>
      <c r="S204" s="30"/>
      <c r="T204" s="31" t="s">
        <v>572</v>
      </c>
      <c r="U204" s="139"/>
      <c r="V204" s="139"/>
      <c r="W204" s="20"/>
      <c r="X204" s="20"/>
      <c r="Y204" s="20"/>
      <c r="Z204" s="20"/>
      <c r="AA204" s="20"/>
      <c r="AB204" s="20"/>
      <c r="AC204" s="20"/>
      <c r="AD204" s="20"/>
      <c r="AE204" s="20"/>
      <c r="AF204" s="20"/>
      <c r="AG204" s="20"/>
      <c r="AH204" s="20"/>
      <c r="AI204" s="20"/>
      <c r="AJ204" s="20"/>
      <c r="AK204" s="20"/>
      <c r="AL204" s="20"/>
      <c r="AM204" s="20"/>
      <c r="AN204" s="20"/>
      <c r="AO204" s="20"/>
      <c r="AP204" s="20"/>
      <c r="AQ204" s="20"/>
      <c r="AR204" s="20"/>
      <c r="AS204" s="20"/>
      <c r="AT204" s="20"/>
      <c r="AU204" s="20"/>
      <c r="AV204" s="20"/>
      <c r="AW204" s="20"/>
      <c r="AX204" s="20"/>
      <c r="AY204" s="20"/>
      <c r="AZ204" s="20"/>
      <c r="BA204" s="20"/>
      <c r="BB204" s="20"/>
      <c r="BC204" s="20"/>
      <c r="BD204" s="20"/>
      <c r="BE204" s="20"/>
      <c r="BF204" s="20"/>
      <c r="BG204" s="20"/>
      <c r="BH204" s="20"/>
      <c r="BI204" s="20"/>
      <c r="BJ204" s="20"/>
      <c r="BK204" s="20"/>
      <c r="BL204" s="20"/>
      <c r="BM204" s="20"/>
      <c r="BN204" s="20"/>
      <c r="BO204" s="20"/>
      <c r="BP204" s="20"/>
      <c r="BQ204" s="20"/>
      <c r="BR204" s="20"/>
      <c r="BS204" s="20"/>
      <c r="BT204" s="20"/>
      <c r="BU204" s="20"/>
      <c r="BV204" s="20"/>
      <c r="BW204" s="20"/>
      <c r="BX204" s="20"/>
      <c r="BY204" s="20"/>
      <c r="BZ204" s="20"/>
      <c r="CA204" s="20"/>
      <c r="CB204" s="20"/>
      <c r="CC204" s="20"/>
      <c r="CD204" s="20"/>
      <c r="CE204" s="20"/>
      <c r="CF204" s="20"/>
      <c r="CG204" s="20"/>
      <c r="CH204" s="20"/>
      <c r="CI204" s="20"/>
      <c r="CJ204" s="20"/>
      <c r="CK204" s="20"/>
      <c r="CL204" s="20"/>
      <c r="CM204" s="20"/>
      <c r="CN204" s="20"/>
      <c r="CO204" s="20"/>
      <c r="CP204" s="20"/>
      <c r="CQ204" s="20"/>
      <c r="CR204" s="20"/>
      <c r="CS204" s="20"/>
      <c r="CT204" s="20"/>
      <c r="CU204" s="20"/>
      <c r="CV204" s="20"/>
      <c r="CW204" s="20"/>
      <c r="CX204" s="20"/>
      <c r="CY204" s="20"/>
      <c r="CZ204" s="20"/>
      <c r="DA204" s="20"/>
      <c r="DB204" s="20"/>
      <c r="DC204" s="20"/>
      <c r="DD204" s="20"/>
      <c r="DE204" s="20"/>
      <c r="DF204" s="20"/>
      <c r="DG204" s="20"/>
      <c r="DH204" s="20"/>
      <c r="DI204" s="20"/>
      <c r="DJ204" s="20"/>
      <c r="DK204" s="20"/>
      <c r="DL204" s="20"/>
      <c r="DM204" s="20"/>
      <c r="DN204" s="20"/>
      <c r="DO204" s="20"/>
      <c r="DP204" s="20"/>
      <c r="DQ204" s="20"/>
      <c r="DR204" s="20"/>
      <c r="DS204" s="20"/>
    </row>
    <row r="205" spans="1:123" ht="56.45" customHeight="1" x14ac:dyDescent="0.25">
      <c r="A205" s="117">
        <v>1</v>
      </c>
      <c r="B205" s="39" t="s">
        <v>22</v>
      </c>
      <c r="C205" s="28" t="s">
        <v>573</v>
      </c>
      <c r="D205" s="27" t="s">
        <v>596</v>
      </c>
      <c r="E205" s="28" t="s">
        <v>597</v>
      </c>
      <c r="F205" s="28">
        <v>3</v>
      </c>
      <c r="G205" s="27"/>
      <c r="H205" s="27" t="s">
        <v>574</v>
      </c>
      <c r="I205" s="29">
        <v>750000</v>
      </c>
      <c r="J205" s="29">
        <v>750000</v>
      </c>
      <c r="K205" s="2" t="s">
        <v>22</v>
      </c>
      <c r="L205" s="141">
        <v>2750000</v>
      </c>
      <c r="M205" s="40" t="s">
        <v>22</v>
      </c>
      <c r="N205" s="5"/>
      <c r="O205" s="5"/>
      <c r="P205" s="1">
        <v>2011</v>
      </c>
      <c r="Q205" s="1"/>
      <c r="R205" s="2" t="s">
        <v>22</v>
      </c>
      <c r="S205" s="30"/>
      <c r="T205" s="31"/>
      <c r="U205" s="139"/>
      <c r="V205" s="139"/>
      <c r="W205" s="20"/>
      <c r="X205" s="20"/>
      <c r="Y205" s="20"/>
      <c r="Z205" s="20"/>
      <c r="AA205" s="20"/>
      <c r="AB205" s="20"/>
      <c r="AC205" s="20"/>
      <c r="AD205" s="20"/>
      <c r="AE205" s="20"/>
      <c r="AF205" s="20"/>
      <c r="AG205" s="20"/>
      <c r="AH205" s="20"/>
      <c r="AI205" s="20"/>
      <c r="AJ205" s="20"/>
      <c r="AK205" s="20"/>
      <c r="AL205" s="20"/>
      <c r="AM205" s="20"/>
      <c r="AN205" s="20"/>
      <c r="AO205" s="20"/>
      <c r="AP205" s="20"/>
      <c r="AQ205" s="20"/>
      <c r="AR205" s="20"/>
      <c r="AS205" s="20"/>
      <c r="AT205" s="20"/>
      <c r="AU205" s="20"/>
      <c r="AV205" s="20"/>
      <c r="AW205" s="20"/>
      <c r="AX205" s="20"/>
      <c r="AY205" s="20"/>
      <c r="AZ205" s="20"/>
      <c r="BA205" s="20"/>
      <c r="BB205" s="20"/>
      <c r="BC205" s="20"/>
      <c r="BD205" s="20"/>
      <c r="BE205" s="20"/>
      <c r="BF205" s="20"/>
      <c r="BG205" s="20"/>
      <c r="BH205" s="20"/>
      <c r="BI205" s="20"/>
      <c r="BJ205" s="20"/>
      <c r="BK205" s="20"/>
      <c r="BL205" s="20"/>
      <c r="BM205" s="20"/>
      <c r="BN205" s="20"/>
      <c r="BO205" s="20"/>
      <c r="BP205" s="20"/>
      <c r="BQ205" s="20"/>
      <c r="BR205" s="20"/>
      <c r="BS205" s="20"/>
      <c r="BT205" s="20"/>
      <c r="BU205" s="20"/>
      <c r="BV205" s="20"/>
      <c r="BW205" s="20"/>
      <c r="BX205" s="20"/>
      <c r="BY205" s="20"/>
      <c r="BZ205" s="20"/>
      <c r="CA205" s="20"/>
      <c r="CB205" s="20"/>
      <c r="CC205" s="20"/>
      <c r="CD205" s="20"/>
      <c r="CE205" s="20"/>
      <c r="CF205" s="20"/>
      <c r="CG205" s="20"/>
      <c r="CH205" s="20"/>
      <c r="CI205" s="20"/>
      <c r="CJ205" s="20"/>
      <c r="CK205" s="20"/>
      <c r="CL205" s="20"/>
      <c r="CM205" s="20"/>
      <c r="CN205" s="20"/>
      <c r="CO205" s="20"/>
      <c r="CP205" s="20"/>
      <c r="CQ205" s="20"/>
      <c r="CR205" s="20"/>
      <c r="CS205" s="20"/>
      <c r="CT205" s="20"/>
      <c r="CU205" s="20"/>
      <c r="CV205" s="20"/>
      <c r="CW205" s="20"/>
      <c r="CX205" s="20"/>
      <c r="CY205" s="20"/>
      <c r="CZ205" s="20"/>
      <c r="DA205" s="20"/>
      <c r="DB205" s="20"/>
      <c r="DC205" s="20"/>
      <c r="DD205" s="20"/>
      <c r="DE205" s="20"/>
      <c r="DF205" s="20"/>
      <c r="DG205" s="20"/>
      <c r="DH205" s="20"/>
      <c r="DI205" s="20"/>
      <c r="DJ205" s="20"/>
      <c r="DK205" s="20"/>
      <c r="DL205" s="20"/>
      <c r="DM205" s="20"/>
      <c r="DN205" s="20"/>
      <c r="DO205" s="20"/>
      <c r="DP205" s="20"/>
      <c r="DQ205" s="20"/>
      <c r="DR205" s="20"/>
      <c r="DS205" s="20"/>
    </row>
    <row r="206" spans="1:123" ht="67.150000000000006" customHeight="1" x14ac:dyDescent="0.25">
      <c r="A206" s="117">
        <v>1</v>
      </c>
      <c r="B206" s="39" t="s">
        <v>22</v>
      </c>
      <c r="C206" s="28" t="s">
        <v>575</v>
      </c>
      <c r="D206" s="27" t="s">
        <v>576</v>
      </c>
      <c r="E206" s="28" t="s">
        <v>102</v>
      </c>
      <c r="F206" s="28">
        <v>4</v>
      </c>
      <c r="G206" s="27"/>
      <c r="H206" s="28" t="s">
        <v>574</v>
      </c>
      <c r="I206" s="29">
        <v>1500000</v>
      </c>
      <c r="J206" s="29">
        <v>1500000</v>
      </c>
      <c r="K206" s="2" t="s">
        <v>22</v>
      </c>
      <c r="L206" s="5"/>
      <c r="M206" s="5"/>
      <c r="N206" s="5"/>
      <c r="O206" s="5"/>
      <c r="P206" s="1">
        <v>2011</v>
      </c>
      <c r="Q206" s="1"/>
      <c r="R206" s="2" t="s">
        <v>22</v>
      </c>
      <c r="S206" s="30"/>
      <c r="T206" s="31"/>
      <c r="U206" s="139"/>
      <c r="V206" s="139"/>
      <c r="W206" s="20"/>
      <c r="X206" s="20"/>
    </row>
    <row r="207" spans="1:123" ht="18.75" customHeight="1" x14ac:dyDescent="0.25">
      <c r="A207" s="117">
        <v>4</v>
      </c>
      <c r="B207" s="39" t="s">
        <v>22</v>
      </c>
      <c r="C207" s="28" t="s">
        <v>577</v>
      </c>
      <c r="D207" s="2" t="s">
        <v>589</v>
      </c>
      <c r="E207" s="28" t="s">
        <v>598</v>
      </c>
      <c r="F207" s="28" t="s">
        <v>599</v>
      </c>
      <c r="G207" s="27"/>
      <c r="H207" s="27"/>
      <c r="I207" s="6">
        <v>144700000</v>
      </c>
      <c r="J207" s="6"/>
      <c r="K207" s="117"/>
      <c r="L207" s="6">
        <v>144700000</v>
      </c>
      <c r="M207" s="2" t="s">
        <v>22</v>
      </c>
      <c r="N207" s="5"/>
      <c r="O207" s="5"/>
      <c r="P207" s="1">
        <v>2013</v>
      </c>
      <c r="Q207" s="1"/>
      <c r="R207" s="2" t="s">
        <v>22</v>
      </c>
      <c r="S207" s="30"/>
      <c r="T207" s="31" t="s">
        <v>578</v>
      </c>
      <c r="U207" s="139"/>
      <c r="V207" s="139"/>
      <c r="W207" s="20"/>
      <c r="X207" s="20"/>
    </row>
    <row r="208" spans="1:123" ht="60" x14ac:dyDescent="0.25">
      <c r="A208" s="117">
        <v>4</v>
      </c>
      <c r="B208" s="39" t="s">
        <v>22</v>
      </c>
      <c r="C208" s="28" t="s">
        <v>579</v>
      </c>
      <c r="D208" s="27" t="s">
        <v>588</v>
      </c>
      <c r="E208" s="28" t="s">
        <v>600</v>
      </c>
      <c r="F208" s="28">
        <v>3</v>
      </c>
      <c r="G208" s="27"/>
      <c r="H208" s="28" t="s">
        <v>343</v>
      </c>
      <c r="I208" s="29">
        <v>92160000</v>
      </c>
      <c r="J208" s="29">
        <v>92160000</v>
      </c>
      <c r="K208" s="2" t="s">
        <v>22</v>
      </c>
      <c r="L208" s="5"/>
      <c r="M208" s="5"/>
      <c r="N208" s="5"/>
      <c r="O208" s="5"/>
      <c r="P208" s="1">
        <v>2012</v>
      </c>
      <c r="Q208" s="1"/>
      <c r="R208" s="2" t="s">
        <v>22</v>
      </c>
      <c r="S208" s="30"/>
      <c r="T208" s="31" t="s">
        <v>580</v>
      </c>
      <c r="U208" s="139"/>
      <c r="V208" s="139"/>
      <c r="W208" s="20"/>
      <c r="X208" s="20"/>
    </row>
    <row r="209" spans="1:24" ht="39" customHeight="1" x14ac:dyDescent="0.25">
      <c r="A209" s="117">
        <v>4</v>
      </c>
      <c r="B209" s="39" t="s">
        <v>481</v>
      </c>
      <c r="C209" s="28" t="s">
        <v>581</v>
      </c>
      <c r="D209" s="27" t="s">
        <v>582</v>
      </c>
      <c r="E209" s="28" t="s">
        <v>601</v>
      </c>
      <c r="F209" s="28" t="s">
        <v>590</v>
      </c>
      <c r="G209" s="27"/>
      <c r="H209" s="28" t="s">
        <v>246</v>
      </c>
      <c r="I209" s="29">
        <v>155000000</v>
      </c>
      <c r="J209" s="6"/>
      <c r="K209" s="122"/>
      <c r="L209" s="29">
        <v>155000000</v>
      </c>
      <c r="M209" s="2" t="s">
        <v>481</v>
      </c>
      <c r="N209" s="5"/>
      <c r="O209" s="5"/>
      <c r="P209" s="1">
        <v>2013</v>
      </c>
      <c r="Q209" s="1">
        <v>2017</v>
      </c>
      <c r="R209" s="2" t="s">
        <v>481</v>
      </c>
      <c r="S209" s="30" t="s">
        <v>586</v>
      </c>
      <c r="T209" s="31"/>
      <c r="U209" s="139"/>
      <c r="V209" s="139"/>
      <c r="W209" s="20"/>
      <c r="X209" s="20"/>
    </row>
    <row r="210" spans="1:24" ht="90.6" customHeight="1" x14ac:dyDescent="0.25">
      <c r="A210" s="117">
        <v>1</v>
      </c>
      <c r="B210" s="39" t="s">
        <v>481</v>
      </c>
      <c r="C210" s="28" t="s">
        <v>583</v>
      </c>
      <c r="D210" s="27" t="s">
        <v>584</v>
      </c>
      <c r="E210" s="113" t="s">
        <v>602</v>
      </c>
      <c r="F210" s="28" t="s">
        <v>590</v>
      </c>
      <c r="G210" s="27"/>
      <c r="H210" s="28" t="s">
        <v>246</v>
      </c>
      <c r="I210" s="29">
        <v>30000000</v>
      </c>
      <c r="J210" s="6"/>
      <c r="K210" s="122"/>
      <c r="L210" s="29">
        <v>30000000</v>
      </c>
      <c r="M210" s="2" t="s">
        <v>481</v>
      </c>
      <c r="N210" s="5"/>
      <c r="O210" s="5"/>
      <c r="P210" s="1">
        <v>2013</v>
      </c>
      <c r="Q210" s="1">
        <v>2017</v>
      </c>
      <c r="R210" s="2" t="s">
        <v>481</v>
      </c>
      <c r="S210" s="121" t="s">
        <v>491</v>
      </c>
      <c r="T210" s="31"/>
      <c r="U210" s="139"/>
      <c r="V210" s="139"/>
      <c r="W210" s="20"/>
      <c r="X210" s="20"/>
    </row>
    <row r="211" spans="1:24" ht="100.9" customHeight="1" x14ac:dyDescent="0.25">
      <c r="A211" s="117">
        <v>1</v>
      </c>
      <c r="B211" s="39" t="s">
        <v>481</v>
      </c>
      <c r="C211" s="28" t="s">
        <v>585</v>
      </c>
      <c r="D211" s="27" t="s">
        <v>603</v>
      </c>
      <c r="E211" s="113" t="s">
        <v>604</v>
      </c>
      <c r="F211" s="28">
        <v>4</v>
      </c>
      <c r="G211" s="27"/>
      <c r="H211" s="28" t="s">
        <v>587</v>
      </c>
      <c r="I211" s="29">
        <v>320000</v>
      </c>
      <c r="J211" s="29">
        <v>320000</v>
      </c>
      <c r="K211" s="2" t="s">
        <v>481</v>
      </c>
      <c r="L211" s="5"/>
      <c r="M211" s="5"/>
      <c r="N211" s="5"/>
      <c r="O211" s="5"/>
      <c r="P211" s="1">
        <v>2013</v>
      </c>
      <c r="Q211" s="1">
        <v>2017</v>
      </c>
      <c r="R211" s="2" t="s">
        <v>481</v>
      </c>
      <c r="S211" s="30" t="s">
        <v>204</v>
      </c>
      <c r="T211" s="31"/>
      <c r="U211" s="139"/>
      <c r="V211" s="139"/>
      <c r="W211" s="20"/>
      <c r="X211" s="20"/>
    </row>
    <row r="212" spans="1:24" s="51" customFormat="1" ht="180" x14ac:dyDescent="0.25">
      <c r="A212" s="40">
        <v>1</v>
      </c>
      <c r="B212" s="39" t="s">
        <v>359</v>
      </c>
      <c r="C212" s="40" t="s">
        <v>623</v>
      </c>
      <c r="D212" s="52" t="s">
        <v>350</v>
      </c>
      <c r="E212" s="52" t="s">
        <v>358</v>
      </c>
      <c r="F212" s="40">
        <v>0</v>
      </c>
      <c r="G212" s="52"/>
      <c r="H212" s="40" t="s">
        <v>441</v>
      </c>
      <c r="I212" s="107">
        <f>(36300000*1.3)</f>
        <v>47190000</v>
      </c>
      <c r="J212" s="107">
        <f>(36300000*1.3)</f>
        <v>47190000</v>
      </c>
      <c r="K212" s="52" t="s">
        <v>359</v>
      </c>
      <c r="L212" s="55"/>
      <c r="M212" s="55"/>
      <c r="N212" s="55"/>
      <c r="O212" s="55"/>
      <c r="P212" s="120" t="s">
        <v>188</v>
      </c>
      <c r="Q212" s="120" t="s">
        <v>624</v>
      </c>
      <c r="R212" s="40" t="s">
        <v>441</v>
      </c>
      <c r="S212" s="52" t="s">
        <v>357</v>
      </c>
      <c r="T212" s="52"/>
      <c r="U212" s="52"/>
      <c r="V212" s="52"/>
      <c r="W212" s="64"/>
      <c r="X212" s="64"/>
    </row>
    <row r="213" spans="1:24" x14ac:dyDescent="0.25">
      <c r="C213" s="17"/>
      <c r="D213" s="17"/>
      <c r="E213" s="18"/>
      <c r="F213" s="18"/>
      <c r="G213" s="18"/>
      <c r="H213" s="18"/>
      <c r="I213" s="19"/>
      <c r="J213" s="19"/>
      <c r="K213" s="18"/>
      <c r="L213" s="20"/>
      <c r="M213" s="20"/>
      <c r="N213" s="20"/>
      <c r="O213" s="20"/>
      <c r="P213" s="21"/>
      <c r="Q213" s="21"/>
      <c r="R213" s="18"/>
      <c r="S213" s="18"/>
      <c r="T213" s="18"/>
      <c r="U213" s="18"/>
      <c r="V213" s="18"/>
      <c r="W213" s="20"/>
      <c r="X213" s="20"/>
    </row>
    <row r="214" spans="1:24" x14ac:dyDescent="0.25">
      <c r="C214" s="17"/>
      <c r="D214" s="17"/>
      <c r="E214" s="18"/>
      <c r="F214" s="18"/>
      <c r="G214" s="18"/>
      <c r="H214" s="18"/>
      <c r="I214" s="19"/>
      <c r="J214" s="19"/>
      <c r="K214" s="18"/>
      <c r="L214" s="20"/>
      <c r="M214" s="20"/>
      <c r="N214" s="20"/>
      <c r="O214" s="20"/>
      <c r="P214" s="21"/>
      <c r="Q214" s="21"/>
      <c r="R214" s="18"/>
      <c r="S214" s="18"/>
      <c r="T214" s="18"/>
      <c r="U214" s="18"/>
      <c r="V214" s="18"/>
      <c r="W214" s="20"/>
      <c r="X214" s="20"/>
    </row>
    <row r="215" spans="1:24" x14ac:dyDescent="0.25">
      <c r="C215" s="17"/>
      <c r="D215" s="17"/>
      <c r="E215" s="18"/>
      <c r="F215" s="18"/>
      <c r="G215" s="18"/>
      <c r="H215" s="18"/>
      <c r="I215" s="19"/>
      <c r="J215" s="19"/>
      <c r="K215" s="18"/>
      <c r="L215" s="20"/>
      <c r="M215" s="20"/>
      <c r="N215" s="20"/>
      <c r="O215" s="20"/>
      <c r="P215" s="21"/>
      <c r="Q215" s="21"/>
      <c r="R215" s="18"/>
      <c r="S215" s="18"/>
      <c r="T215" s="18"/>
      <c r="U215" s="18"/>
      <c r="V215" s="18"/>
      <c r="W215" s="20"/>
      <c r="X215" s="20"/>
    </row>
    <row r="216" spans="1:24" x14ac:dyDescent="0.25">
      <c r="C216" s="17"/>
      <c r="D216" s="17"/>
      <c r="E216" s="18"/>
      <c r="F216" s="18"/>
      <c r="G216" s="18"/>
      <c r="H216" s="18"/>
      <c r="I216" s="19"/>
      <c r="J216" s="19"/>
      <c r="K216" s="18"/>
      <c r="L216" s="20"/>
      <c r="M216" s="20"/>
      <c r="N216" s="20"/>
      <c r="O216" s="20"/>
      <c r="P216" s="21"/>
      <c r="Q216" s="21"/>
      <c r="R216" s="18"/>
      <c r="S216" s="18"/>
      <c r="T216" s="18"/>
      <c r="U216" s="18"/>
      <c r="V216" s="18"/>
      <c r="W216" s="20"/>
      <c r="X216" s="20"/>
    </row>
    <row r="217" spans="1:24" x14ac:dyDescent="0.25">
      <c r="C217" s="17"/>
      <c r="D217" s="17"/>
      <c r="E217" s="18"/>
      <c r="F217" s="18"/>
      <c r="G217" s="18"/>
      <c r="H217" s="18"/>
      <c r="I217" s="19"/>
      <c r="J217" s="19"/>
      <c r="K217" s="18"/>
      <c r="L217" s="20"/>
      <c r="M217" s="20"/>
      <c r="N217" s="20"/>
      <c r="O217" s="20"/>
      <c r="P217" s="21"/>
      <c r="Q217" s="21"/>
      <c r="R217" s="18"/>
      <c r="S217" s="18"/>
      <c r="T217" s="18"/>
      <c r="U217" s="18"/>
      <c r="V217" s="18"/>
      <c r="W217" s="20"/>
      <c r="X217" s="20"/>
    </row>
    <row r="218" spans="1:24" x14ac:dyDescent="0.25">
      <c r="C218" s="17"/>
      <c r="D218" s="17"/>
      <c r="E218" s="18"/>
      <c r="F218" s="18"/>
      <c r="G218" s="18"/>
      <c r="H218" s="18"/>
      <c r="I218" s="19"/>
      <c r="J218" s="19"/>
      <c r="K218" s="18"/>
      <c r="L218" s="20"/>
      <c r="M218" s="20"/>
      <c r="N218" s="20"/>
      <c r="O218" s="20"/>
      <c r="P218" s="21"/>
      <c r="Q218" s="21"/>
      <c r="R218" s="18"/>
      <c r="S218" s="18"/>
      <c r="T218" s="18"/>
      <c r="U218" s="18"/>
      <c r="V218" s="18"/>
      <c r="W218" s="20"/>
      <c r="X218" s="20"/>
    </row>
    <row r="219" spans="1:24" x14ac:dyDescent="0.25">
      <c r="C219" s="17"/>
      <c r="D219" s="17"/>
      <c r="E219" s="18"/>
      <c r="F219" s="18"/>
      <c r="G219" s="18"/>
      <c r="H219" s="18"/>
      <c r="I219" s="19"/>
      <c r="J219" s="19"/>
      <c r="K219" s="18"/>
      <c r="L219" s="20"/>
      <c r="M219" s="20"/>
      <c r="N219" s="20"/>
      <c r="O219" s="20"/>
      <c r="P219" s="21"/>
      <c r="Q219" s="21"/>
      <c r="R219" s="18"/>
      <c r="S219" s="18"/>
      <c r="T219" s="18"/>
      <c r="U219" s="18"/>
      <c r="V219" s="18"/>
      <c r="W219" s="20"/>
      <c r="X219" s="20"/>
    </row>
    <row r="220" spans="1:24" x14ac:dyDescent="0.25">
      <c r="C220" s="17"/>
      <c r="D220" s="17"/>
      <c r="E220" s="18"/>
      <c r="F220" s="18"/>
      <c r="G220" s="18"/>
      <c r="H220" s="18"/>
      <c r="I220" s="19"/>
      <c r="J220" s="19"/>
      <c r="K220" s="18"/>
      <c r="L220" s="20"/>
      <c r="M220" s="20"/>
      <c r="N220" s="20"/>
      <c r="O220" s="20"/>
      <c r="P220" s="21"/>
      <c r="Q220" s="21"/>
      <c r="R220" s="18"/>
      <c r="S220" s="18"/>
      <c r="T220" s="18"/>
      <c r="U220" s="18"/>
      <c r="V220" s="18"/>
      <c r="W220" s="20"/>
      <c r="X220" s="20"/>
    </row>
    <row r="221" spans="1:24" x14ac:dyDescent="0.25">
      <c r="C221" s="17"/>
      <c r="D221" s="17"/>
      <c r="E221" s="18"/>
      <c r="F221" s="18"/>
      <c r="G221" s="18"/>
      <c r="H221" s="18"/>
      <c r="I221" s="19"/>
      <c r="J221" s="19"/>
      <c r="K221" s="18"/>
      <c r="L221" s="20"/>
      <c r="M221" s="20"/>
      <c r="N221" s="20"/>
      <c r="O221" s="20"/>
      <c r="P221" s="21"/>
      <c r="Q221" s="21"/>
      <c r="R221" s="18"/>
      <c r="S221" s="18"/>
      <c r="T221" s="18"/>
      <c r="U221" s="18"/>
      <c r="V221" s="18"/>
      <c r="W221" s="20"/>
      <c r="X221" s="20"/>
    </row>
    <row r="222" spans="1:24" x14ac:dyDescent="0.25">
      <c r="C222" s="17"/>
      <c r="D222" s="17"/>
      <c r="E222" s="18"/>
      <c r="F222" s="18"/>
      <c r="G222" s="18"/>
      <c r="H222" s="18"/>
      <c r="I222" s="19"/>
      <c r="J222" s="19"/>
      <c r="K222" s="18"/>
      <c r="L222" s="20"/>
      <c r="M222" s="20"/>
      <c r="N222" s="20"/>
      <c r="O222" s="20"/>
      <c r="P222" s="21"/>
      <c r="Q222" s="21"/>
      <c r="R222" s="18"/>
      <c r="S222" s="18"/>
      <c r="T222" s="18"/>
      <c r="U222" s="18"/>
      <c r="V222" s="18"/>
      <c r="W222" s="20"/>
      <c r="X222" s="20"/>
    </row>
    <row r="223" spans="1:24" x14ac:dyDescent="0.25">
      <c r="C223" s="17"/>
      <c r="D223" s="17"/>
      <c r="E223" s="18"/>
      <c r="F223" s="18"/>
      <c r="G223" s="18"/>
      <c r="H223" s="18"/>
      <c r="I223" s="19"/>
      <c r="J223" s="19"/>
      <c r="K223" s="18"/>
      <c r="L223" s="20"/>
      <c r="M223" s="20"/>
      <c r="N223" s="109">
        <f>SUM(N3:N222)</f>
        <v>26589999.449999999</v>
      </c>
      <c r="O223" s="20"/>
      <c r="P223" s="21"/>
      <c r="Q223" s="21"/>
      <c r="R223" s="18"/>
      <c r="S223" s="18"/>
      <c r="T223" s="18"/>
      <c r="U223" s="18"/>
      <c r="V223" s="18"/>
      <c r="W223" s="20"/>
      <c r="X223" s="20"/>
    </row>
    <row r="224" spans="1:24" x14ac:dyDescent="0.25">
      <c r="C224" s="20"/>
      <c r="D224" s="17"/>
      <c r="E224" s="18"/>
      <c r="F224" s="18"/>
      <c r="G224" s="18"/>
      <c r="H224" s="18"/>
      <c r="I224" s="19"/>
      <c r="J224" s="19"/>
      <c r="K224" s="18"/>
      <c r="L224" s="20"/>
      <c r="M224" s="20"/>
      <c r="N224" s="20"/>
      <c r="O224" s="20"/>
      <c r="P224" s="21"/>
      <c r="Q224" s="21"/>
      <c r="R224" s="18"/>
      <c r="S224" s="18"/>
      <c r="T224" s="18"/>
      <c r="U224" s="18"/>
      <c r="V224" s="18"/>
      <c r="W224" s="20"/>
      <c r="X224" s="20"/>
    </row>
    <row r="225" spans="3:24" x14ac:dyDescent="0.25">
      <c r="C225" s="17"/>
      <c r="D225" s="17"/>
      <c r="E225" s="18"/>
      <c r="F225" s="18"/>
      <c r="G225" s="18"/>
      <c r="H225" s="18"/>
      <c r="I225" s="19"/>
      <c r="J225" s="19"/>
      <c r="K225" s="18"/>
      <c r="L225" s="20"/>
      <c r="M225" s="20"/>
      <c r="N225" s="20"/>
      <c r="O225" s="20"/>
      <c r="P225" s="21"/>
      <c r="Q225" s="21"/>
      <c r="R225" s="18"/>
      <c r="S225" s="18"/>
      <c r="T225" s="18"/>
      <c r="U225" s="18"/>
      <c r="V225" s="18"/>
      <c r="W225" s="20"/>
      <c r="X225" s="20"/>
    </row>
    <row r="226" spans="3:24" x14ac:dyDescent="0.25">
      <c r="C226" s="17"/>
      <c r="D226" s="17"/>
      <c r="E226" s="18"/>
      <c r="F226" s="18"/>
      <c r="G226" s="18"/>
      <c r="H226" s="18"/>
      <c r="I226" s="19"/>
      <c r="J226" s="19"/>
      <c r="K226" s="18"/>
      <c r="L226" s="20"/>
      <c r="M226" s="20"/>
      <c r="N226" s="20"/>
      <c r="O226" s="20"/>
      <c r="P226" s="21"/>
      <c r="Q226" s="21"/>
      <c r="R226" s="18"/>
      <c r="S226" s="18"/>
      <c r="T226" s="18"/>
      <c r="U226" s="18"/>
      <c r="V226" s="18"/>
      <c r="W226" s="20"/>
      <c r="X226" s="20"/>
    </row>
    <row r="227" spans="3:24" x14ac:dyDescent="0.25">
      <c r="C227" s="17"/>
      <c r="D227" s="17"/>
      <c r="E227" s="18"/>
      <c r="F227" s="18"/>
      <c r="G227" s="18"/>
      <c r="H227" s="18"/>
      <c r="I227" s="19"/>
      <c r="J227" s="19"/>
      <c r="K227" s="18"/>
      <c r="L227" s="20"/>
      <c r="M227" s="20"/>
      <c r="N227" s="20"/>
      <c r="O227" s="20"/>
      <c r="P227" s="21"/>
      <c r="Q227" s="21"/>
      <c r="R227" s="18"/>
      <c r="S227" s="18"/>
      <c r="T227" s="18"/>
      <c r="U227" s="18"/>
      <c r="V227" s="18"/>
      <c r="W227" s="20"/>
      <c r="X227" s="20"/>
    </row>
    <row r="228" spans="3:24" x14ac:dyDescent="0.25">
      <c r="C228" s="17"/>
      <c r="D228" s="17"/>
      <c r="E228" s="18"/>
      <c r="F228" s="18"/>
      <c r="G228" s="18"/>
      <c r="H228" s="18"/>
      <c r="I228" s="19"/>
      <c r="J228" s="19"/>
      <c r="K228" s="18"/>
      <c r="L228" s="20"/>
      <c r="M228" s="20"/>
      <c r="N228" s="20"/>
      <c r="O228" s="20"/>
      <c r="P228" s="21"/>
      <c r="Q228" s="21"/>
      <c r="R228" s="18"/>
      <c r="S228" s="18"/>
      <c r="T228" s="18"/>
      <c r="U228" s="18"/>
      <c r="V228" s="18"/>
      <c r="W228" s="20"/>
      <c r="X228" s="20"/>
    </row>
    <row r="229" spans="3:24" x14ac:dyDescent="0.25">
      <c r="C229" s="17"/>
      <c r="D229" s="17"/>
      <c r="E229" s="18"/>
      <c r="F229" s="18"/>
      <c r="G229" s="18"/>
      <c r="H229" s="18"/>
      <c r="I229" s="19"/>
      <c r="J229" s="19"/>
      <c r="K229" s="18"/>
      <c r="L229" s="20"/>
      <c r="M229" s="20"/>
      <c r="N229" s="20"/>
      <c r="O229" s="20"/>
      <c r="P229" s="21"/>
      <c r="Q229" s="21"/>
      <c r="R229" s="18"/>
      <c r="S229" s="18"/>
      <c r="T229" s="18"/>
      <c r="U229" s="18"/>
      <c r="V229" s="18"/>
      <c r="W229" s="20"/>
      <c r="X229" s="20"/>
    </row>
    <row r="230" spans="3:24" x14ac:dyDescent="0.25">
      <c r="C230" s="17"/>
      <c r="D230" s="17"/>
      <c r="E230" s="18"/>
      <c r="F230" s="18"/>
      <c r="G230" s="18"/>
      <c r="H230" s="18"/>
      <c r="I230" s="19"/>
      <c r="J230" s="19"/>
      <c r="K230" s="18"/>
      <c r="L230" s="20"/>
      <c r="M230" s="20"/>
      <c r="N230" s="20"/>
      <c r="O230" s="20"/>
      <c r="P230" s="21"/>
      <c r="Q230" s="21"/>
      <c r="R230" s="18"/>
      <c r="S230" s="18"/>
      <c r="T230" s="18"/>
      <c r="U230" s="18"/>
      <c r="V230" s="18"/>
      <c r="W230" s="20"/>
      <c r="X230" s="20"/>
    </row>
    <row r="231" spans="3:24" x14ac:dyDescent="0.25">
      <c r="C231" s="17"/>
      <c r="D231" s="17"/>
      <c r="E231" s="18"/>
      <c r="F231" s="18"/>
      <c r="G231" s="18"/>
      <c r="H231" s="18"/>
      <c r="I231" s="19"/>
      <c r="J231" s="19"/>
      <c r="K231" s="18"/>
      <c r="L231" s="20"/>
      <c r="M231" s="20"/>
      <c r="N231" s="20"/>
      <c r="O231" s="20"/>
      <c r="P231" s="21"/>
      <c r="Q231" s="21"/>
      <c r="R231" s="18"/>
      <c r="S231" s="18"/>
      <c r="T231" s="18"/>
      <c r="U231" s="18"/>
      <c r="V231" s="18"/>
      <c r="W231" s="20"/>
      <c r="X231" s="20"/>
    </row>
    <row r="232" spans="3:24" x14ac:dyDescent="0.25">
      <c r="C232" s="17"/>
      <c r="D232" s="17"/>
      <c r="E232" s="18"/>
      <c r="F232" s="18"/>
      <c r="G232" s="18"/>
      <c r="H232" s="18"/>
      <c r="I232" s="19"/>
      <c r="J232" s="19"/>
      <c r="K232" s="18"/>
      <c r="L232" s="20"/>
      <c r="M232" s="20"/>
      <c r="N232" s="20"/>
      <c r="O232" s="20"/>
      <c r="P232" s="21"/>
      <c r="Q232" s="21"/>
      <c r="R232" s="18"/>
      <c r="S232" s="18"/>
      <c r="T232" s="18"/>
      <c r="U232" s="18"/>
      <c r="V232" s="18"/>
      <c r="W232" s="20"/>
      <c r="X232" s="20"/>
    </row>
    <row r="233" spans="3:24" x14ac:dyDescent="0.25">
      <c r="C233" s="17"/>
      <c r="D233" s="17"/>
      <c r="E233" s="18"/>
      <c r="F233" s="18"/>
      <c r="G233" s="18"/>
      <c r="H233" s="18"/>
      <c r="I233" s="19"/>
      <c r="J233" s="19"/>
      <c r="K233" s="18"/>
      <c r="L233" s="20"/>
      <c r="M233" s="20"/>
      <c r="N233" s="20"/>
      <c r="O233" s="20"/>
      <c r="P233" s="21"/>
      <c r="Q233" s="21"/>
      <c r="R233" s="18"/>
      <c r="S233" s="18"/>
      <c r="T233" s="18"/>
      <c r="U233" s="18"/>
      <c r="V233" s="18"/>
      <c r="W233" s="20"/>
      <c r="X233" s="20"/>
    </row>
    <row r="234" spans="3:24" x14ac:dyDescent="0.25">
      <c r="C234" s="17"/>
      <c r="D234" s="17"/>
      <c r="E234" s="18"/>
      <c r="F234" s="18"/>
      <c r="G234" s="18"/>
      <c r="H234" s="18"/>
      <c r="I234" s="19"/>
      <c r="J234" s="19"/>
      <c r="K234" s="18"/>
      <c r="L234" s="20"/>
      <c r="M234" s="20"/>
      <c r="N234" s="20"/>
      <c r="O234" s="20"/>
      <c r="P234" s="21"/>
      <c r="Q234" s="21"/>
      <c r="R234" s="18"/>
      <c r="S234" s="18"/>
      <c r="T234" s="18"/>
      <c r="U234" s="18"/>
      <c r="V234" s="18"/>
      <c r="W234" s="20"/>
      <c r="X234" s="20"/>
    </row>
    <row r="235" spans="3:24" x14ac:dyDescent="0.25">
      <c r="C235" s="17"/>
      <c r="D235" s="17"/>
      <c r="E235" s="18"/>
      <c r="F235" s="18"/>
      <c r="G235" s="18"/>
      <c r="H235" s="18"/>
      <c r="I235" s="19"/>
      <c r="J235" s="19"/>
      <c r="K235" s="18"/>
      <c r="L235" s="20"/>
      <c r="M235" s="20"/>
      <c r="N235" s="20"/>
      <c r="O235" s="20"/>
      <c r="P235" s="21"/>
      <c r="Q235" s="21"/>
      <c r="R235" s="18"/>
      <c r="S235" s="18"/>
      <c r="T235" s="18"/>
      <c r="U235" s="18"/>
      <c r="V235" s="18"/>
      <c r="W235" s="20"/>
      <c r="X235" s="20"/>
    </row>
    <row r="236" spans="3:24" x14ac:dyDescent="0.25">
      <c r="C236" s="17"/>
      <c r="D236" s="17"/>
      <c r="E236" s="18"/>
      <c r="F236" s="18"/>
      <c r="G236" s="18"/>
      <c r="H236" s="18"/>
      <c r="I236" s="19"/>
      <c r="J236" s="19"/>
      <c r="K236" s="18"/>
      <c r="L236" s="20"/>
      <c r="M236" s="20"/>
      <c r="N236" s="20"/>
      <c r="O236" s="20"/>
      <c r="P236" s="21"/>
      <c r="Q236" s="21"/>
      <c r="R236" s="18"/>
      <c r="S236" s="18"/>
      <c r="T236" s="18"/>
      <c r="U236" s="18"/>
      <c r="V236" s="18"/>
      <c r="W236" s="20"/>
      <c r="X236" s="20"/>
    </row>
    <row r="237" spans="3:24" x14ac:dyDescent="0.25">
      <c r="C237" s="17"/>
      <c r="D237" s="17"/>
      <c r="E237" s="18"/>
      <c r="F237" s="18"/>
      <c r="G237" s="18"/>
      <c r="H237" s="18"/>
      <c r="I237" s="19"/>
      <c r="J237" s="19"/>
      <c r="K237" s="18"/>
      <c r="L237" s="20"/>
      <c r="M237" s="20"/>
      <c r="N237" s="20"/>
      <c r="O237" s="20"/>
      <c r="P237" s="21"/>
      <c r="Q237" s="21"/>
      <c r="R237" s="18"/>
      <c r="S237" s="18"/>
      <c r="T237" s="18"/>
      <c r="U237" s="18"/>
      <c r="V237" s="18"/>
      <c r="W237" s="20"/>
      <c r="X237" s="20"/>
    </row>
    <row r="238" spans="3:24" x14ac:dyDescent="0.25">
      <c r="C238" s="17"/>
      <c r="D238" s="17"/>
      <c r="E238" s="18"/>
      <c r="F238" s="18"/>
      <c r="G238" s="18"/>
      <c r="H238" s="18"/>
      <c r="I238" s="19"/>
      <c r="J238" s="19"/>
      <c r="K238" s="18"/>
      <c r="L238" s="20"/>
      <c r="M238" s="20"/>
      <c r="N238" s="20"/>
      <c r="O238" s="20"/>
      <c r="P238" s="21"/>
      <c r="Q238" s="21"/>
      <c r="R238" s="18"/>
      <c r="S238" s="18"/>
      <c r="T238" s="18"/>
      <c r="U238" s="18"/>
      <c r="V238" s="18"/>
      <c r="W238" s="20"/>
      <c r="X238" s="20"/>
    </row>
    <row r="239" spans="3:24" x14ac:dyDescent="0.25">
      <c r="C239" s="17"/>
      <c r="D239" s="17"/>
      <c r="E239" s="18"/>
      <c r="F239" s="18"/>
      <c r="G239" s="18"/>
      <c r="H239" s="18"/>
      <c r="I239" s="19"/>
      <c r="J239" s="19"/>
      <c r="K239" s="18"/>
      <c r="L239" s="20"/>
      <c r="M239" s="20"/>
      <c r="N239" s="20"/>
      <c r="O239" s="20"/>
      <c r="P239" s="21"/>
      <c r="Q239" s="21"/>
      <c r="R239" s="18"/>
      <c r="S239" s="18"/>
      <c r="T239" s="18"/>
      <c r="U239" s="18"/>
      <c r="V239" s="18"/>
      <c r="W239" s="20"/>
      <c r="X239" s="20"/>
    </row>
    <row r="240" spans="3:24" x14ac:dyDescent="0.25">
      <c r="C240" s="17"/>
      <c r="D240" s="17"/>
      <c r="E240" s="18"/>
      <c r="F240" s="18"/>
      <c r="G240" s="18"/>
      <c r="H240" s="18"/>
      <c r="I240" s="19"/>
      <c r="J240" s="19"/>
      <c r="K240" s="18"/>
      <c r="L240" s="20"/>
      <c r="M240" s="20"/>
      <c r="N240" s="20"/>
      <c r="O240" s="20"/>
      <c r="P240" s="21"/>
      <c r="Q240" s="21"/>
      <c r="R240" s="18"/>
      <c r="S240" s="18"/>
      <c r="T240" s="18"/>
      <c r="U240" s="18"/>
      <c r="V240" s="18"/>
      <c r="W240" s="20"/>
      <c r="X240" s="20"/>
    </row>
    <row r="241" spans="3:24" x14ac:dyDescent="0.25">
      <c r="C241" s="17"/>
      <c r="D241" s="17"/>
      <c r="E241" s="18"/>
      <c r="F241" s="18"/>
      <c r="G241" s="18"/>
      <c r="H241" s="18"/>
      <c r="I241" s="19"/>
      <c r="J241" s="19"/>
      <c r="K241" s="18"/>
      <c r="L241" s="20"/>
      <c r="M241" s="20"/>
      <c r="N241" s="20"/>
      <c r="O241" s="20"/>
      <c r="P241" s="21"/>
      <c r="Q241" s="21"/>
      <c r="R241" s="18"/>
      <c r="S241" s="18"/>
      <c r="T241" s="18"/>
      <c r="U241" s="18"/>
      <c r="V241" s="18"/>
      <c r="W241" s="20"/>
      <c r="X241" s="20"/>
    </row>
    <row r="242" spans="3:24" x14ac:dyDescent="0.25">
      <c r="C242" s="17"/>
      <c r="D242" s="17"/>
      <c r="E242" s="18"/>
      <c r="F242" s="18"/>
      <c r="G242" s="18"/>
      <c r="H242" s="18"/>
      <c r="I242" s="19"/>
      <c r="J242" s="19"/>
      <c r="K242" s="18"/>
      <c r="L242" s="20"/>
      <c r="M242" s="20"/>
      <c r="N242" s="20"/>
      <c r="O242" s="20"/>
      <c r="P242" s="21"/>
      <c r="Q242" s="21"/>
      <c r="R242" s="18"/>
      <c r="S242" s="18"/>
      <c r="T242" s="18"/>
      <c r="U242" s="18"/>
      <c r="V242" s="18"/>
      <c r="W242" s="20"/>
      <c r="X242" s="20"/>
    </row>
    <row r="243" spans="3:24" x14ac:dyDescent="0.25">
      <c r="C243" s="17"/>
      <c r="D243" s="17"/>
      <c r="E243" s="18"/>
      <c r="F243" s="18"/>
      <c r="G243" s="18"/>
      <c r="H243" s="18"/>
      <c r="I243" s="19"/>
      <c r="J243" s="19"/>
      <c r="K243" s="18"/>
      <c r="L243" s="20"/>
      <c r="M243" s="20"/>
      <c r="N243" s="20"/>
      <c r="O243" s="20"/>
      <c r="P243" s="21"/>
      <c r="Q243" s="21"/>
      <c r="R243" s="18"/>
      <c r="S243" s="18"/>
      <c r="T243" s="18"/>
      <c r="U243" s="18"/>
      <c r="V243" s="18"/>
      <c r="W243" s="20"/>
      <c r="X243" s="20"/>
    </row>
    <row r="244" spans="3:24" x14ac:dyDescent="0.25">
      <c r="C244" s="17"/>
      <c r="D244" s="17"/>
      <c r="E244" s="18"/>
      <c r="F244" s="18"/>
      <c r="G244" s="18"/>
      <c r="H244" s="18"/>
      <c r="I244" s="19"/>
      <c r="J244" s="19"/>
      <c r="K244" s="18"/>
      <c r="L244" s="20"/>
      <c r="M244" s="20"/>
      <c r="N244" s="20"/>
      <c r="O244" s="20"/>
      <c r="P244" s="21"/>
      <c r="Q244" s="21"/>
      <c r="R244" s="18"/>
      <c r="S244" s="18"/>
      <c r="T244" s="18"/>
      <c r="U244" s="18"/>
      <c r="V244" s="18"/>
      <c r="W244" s="20"/>
      <c r="X244" s="20"/>
    </row>
    <row r="245" spans="3:24" x14ac:dyDescent="0.25">
      <c r="C245" s="17"/>
      <c r="D245" s="17"/>
      <c r="E245" s="18"/>
      <c r="F245" s="18"/>
      <c r="G245" s="18"/>
      <c r="H245" s="18"/>
      <c r="I245" s="19"/>
      <c r="J245" s="19"/>
      <c r="K245" s="18"/>
      <c r="L245" s="20"/>
      <c r="M245" s="20"/>
      <c r="N245" s="20"/>
      <c r="O245" s="20"/>
      <c r="P245" s="21"/>
      <c r="Q245" s="21"/>
      <c r="R245" s="18"/>
      <c r="S245" s="18"/>
      <c r="T245" s="18"/>
      <c r="U245" s="18"/>
      <c r="V245" s="18"/>
      <c r="W245" s="20"/>
      <c r="X245" s="20"/>
    </row>
    <row r="246" spans="3:24" x14ac:dyDescent="0.25">
      <c r="C246" s="17"/>
      <c r="D246" s="17"/>
      <c r="E246" s="18"/>
      <c r="F246" s="18"/>
      <c r="G246" s="18"/>
      <c r="H246" s="18"/>
      <c r="I246" s="19"/>
      <c r="J246" s="19"/>
      <c r="K246" s="18"/>
      <c r="L246" s="20"/>
      <c r="M246" s="20"/>
      <c r="N246" s="20"/>
      <c r="O246" s="20"/>
      <c r="P246" s="21"/>
      <c r="Q246" s="21"/>
      <c r="R246" s="18"/>
      <c r="S246" s="18"/>
      <c r="T246" s="18"/>
      <c r="U246" s="18"/>
      <c r="V246" s="18"/>
      <c r="W246" s="20"/>
      <c r="X246" s="20"/>
    </row>
    <row r="247" spans="3:24" x14ac:dyDescent="0.25">
      <c r="C247" s="17"/>
      <c r="D247" s="17"/>
      <c r="E247" s="18"/>
      <c r="F247" s="18"/>
      <c r="G247" s="18"/>
      <c r="H247" s="18"/>
      <c r="I247" s="19"/>
      <c r="J247" s="19"/>
      <c r="K247" s="18"/>
      <c r="L247" s="20"/>
      <c r="M247" s="20"/>
      <c r="N247" s="20"/>
      <c r="O247" s="20"/>
      <c r="P247" s="21"/>
      <c r="Q247" s="21"/>
      <c r="R247" s="18"/>
      <c r="S247" s="18"/>
      <c r="T247" s="18"/>
      <c r="U247" s="18"/>
      <c r="V247" s="18"/>
      <c r="W247" s="20"/>
      <c r="X247" s="20"/>
    </row>
    <row r="248" spans="3:24" x14ac:dyDescent="0.25">
      <c r="C248" s="17"/>
      <c r="D248" s="17"/>
      <c r="E248" s="18"/>
      <c r="F248" s="18"/>
      <c r="G248" s="18"/>
      <c r="H248" s="18"/>
      <c r="I248" s="19"/>
      <c r="J248" s="19"/>
      <c r="K248" s="18"/>
      <c r="L248" s="20"/>
      <c r="M248" s="20"/>
      <c r="N248" s="20"/>
      <c r="O248" s="20"/>
      <c r="P248" s="21"/>
      <c r="Q248" s="21"/>
      <c r="R248" s="18"/>
      <c r="S248" s="18"/>
      <c r="T248" s="18"/>
      <c r="U248" s="18"/>
      <c r="V248" s="18"/>
      <c r="W248" s="20"/>
      <c r="X248" s="20"/>
    </row>
    <row r="249" spans="3:24" x14ac:dyDescent="0.25">
      <c r="C249" s="17"/>
      <c r="D249" s="17"/>
      <c r="E249" s="18"/>
      <c r="F249" s="18"/>
      <c r="G249" s="18"/>
      <c r="H249" s="18"/>
      <c r="I249" s="19"/>
      <c r="J249" s="19"/>
      <c r="K249" s="18"/>
      <c r="L249" s="20"/>
      <c r="M249" s="20"/>
      <c r="N249" s="20"/>
      <c r="O249" s="20"/>
      <c r="P249" s="21"/>
      <c r="Q249" s="21"/>
      <c r="R249" s="18"/>
      <c r="S249" s="18"/>
      <c r="T249" s="18"/>
      <c r="U249" s="18"/>
      <c r="V249" s="18"/>
      <c r="W249" s="20"/>
      <c r="X249" s="20"/>
    </row>
    <row r="250" spans="3:24" x14ac:dyDescent="0.25">
      <c r="C250" s="17"/>
      <c r="D250" s="17"/>
      <c r="E250" s="18"/>
      <c r="F250" s="18"/>
      <c r="G250" s="18"/>
      <c r="H250" s="18"/>
      <c r="I250" s="19"/>
      <c r="J250" s="19"/>
      <c r="K250" s="18"/>
      <c r="L250" s="20"/>
      <c r="M250" s="20"/>
      <c r="N250" s="20"/>
      <c r="O250" s="20"/>
      <c r="P250" s="21"/>
      <c r="Q250" s="21"/>
      <c r="R250" s="18"/>
      <c r="S250" s="18"/>
      <c r="T250" s="18"/>
      <c r="U250" s="18"/>
      <c r="V250" s="18"/>
      <c r="W250" s="20"/>
      <c r="X250" s="20"/>
    </row>
    <row r="251" spans="3:24" x14ac:dyDescent="0.25">
      <c r="C251" s="17"/>
      <c r="D251" s="17"/>
      <c r="E251" s="18"/>
      <c r="F251" s="18"/>
      <c r="G251" s="18"/>
      <c r="H251" s="18"/>
      <c r="I251" s="19"/>
      <c r="J251" s="19"/>
      <c r="K251" s="18"/>
      <c r="L251" s="20"/>
      <c r="M251" s="20"/>
      <c r="N251" s="20"/>
      <c r="O251" s="20"/>
      <c r="P251" s="21"/>
      <c r="Q251" s="21"/>
      <c r="R251" s="18"/>
      <c r="S251" s="18"/>
      <c r="T251" s="18"/>
      <c r="U251" s="18"/>
      <c r="V251" s="18"/>
      <c r="W251" s="20"/>
      <c r="X251" s="20"/>
    </row>
    <row r="252" spans="3:24" x14ac:dyDescent="0.25">
      <c r="C252" s="17"/>
      <c r="D252" s="17"/>
      <c r="E252" s="18"/>
      <c r="F252" s="18"/>
      <c r="G252" s="18"/>
      <c r="H252" s="18"/>
      <c r="I252" s="19"/>
      <c r="J252" s="19"/>
      <c r="K252" s="18"/>
      <c r="L252" s="20"/>
      <c r="M252" s="20"/>
      <c r="N252" s="20"/>
      <c r="O252" s="20"/>
      <c r="P252" s="21"/>
      <c r="Q252" s="21"/>
      <c r="R252" s="18"/>
      <c r="S252" s="18"/>
      <c r="T252" s="18"/>
      <c r="U252" s="18"/>
      <c r="V252" s="18"/>
      <c r="W252" s="20"/>
      <c r="X252" s="20"/>
    </row>
    <row r="253" spans="3:24" x14ac:dyDescent="0.25">
      <c r="C253" s="17"/>
      <c r="D253" s="17"/>
      <c r="E253" s="18"/>
      <c r="F253" s="18"/>
      <c r="G253" s="18"/>
      <c r="H253" s="18"/>
      <c r="I253" s="19"/>
      <c r="J253" s="19"/>
      <c r="K253" s="18"/>
      <c r="L253" s="20"/>
      <c r="M253" s="20"/>
      <c r="N253" s="20"/>
      <c r="O253" s="20"/>
      <c r="P253" s="21"/>
      <c r="Q253" s="21"/>
      <c r="R253" s="18"/>
      <c r="S253" s="18"/>
      <c r="T253" s="18"/>
      <c r="U253" s="18"/>
      <c r="V253" s="18"/>
      <c r="W253" s="20"/>
      <c r="X253" s="20"/>
    </row>
    <row r="254" spans="3:24" x14ac:dyDescent="0.25">
      <c r="C254" s="17"/>
      <c r="D254" s="17"/>
      <c r="E254" s="18"/>
      <c r="F254" s="18"/>
      <c r="G254" s="18"/>
      <c r="H254" s="18"/>
      <c r="I254" s="19"/>
      <c r="J254" s="19"/>
      <c r="K254" s="18"/>
      <c r="L254" s="20"/>
      <c r="M254" s="20"/>
      <c r="N254" s="20"/>
      <c r="O254" s="20"/>
      <c r="P254" s="21"/>
      <c r="Q254" s="21"/>
      <c r="R254" s="18"/>
      <c r="S254" s="18"/>
      <c r="T254" s="18"/>
      <c r="U254" s="18"/>
      <c r="V254" s="18"/>
      <c r="W254" s="20"/>
      <c r="X254" s="20"/>
    </row>
  </sheetData>
  <autoFilter ref="A2:V212"/>
  <mergeCells count="85">
    <mergeCell ref="N116:N124"/>
    <mergeCell ref="J116:J124"/>
    <mergeCell ref="K116:K124"/>
    <mergeCell ref="N1:O1"/>
    <mergeCell ref="J3:J6"/>
    <mergeCell ref="L116:L124"/>
    <mergeCell ref="M116:M124"/>
    <mergeCell ref="P1:Q1"/>
    <mergeCell ref="D18:D32"/>
    <mergeCell ref="C18:C32"/>
    <mergeCell ref="E3:E6"/>
    <mergeCell ref="K3:K6"/>
    <mergeCell ref="F18:F113"/>
    <mergeCell ref="D33:D39"/>
    <mergeCell ref="C33:C39"/>
    <mergeCell ref="C3:C6"/>
    <mergeCell ref="D3:D6"/>
    <mergeCell ref="D10:D12"/>
    <mergeCell ref="C10:C12"/>
    <mergeCell ref="E10:E12"/>
    <mergeCell ref="C1:I1"/>
    <mergeCell ref="J1:K1"/>
    <mergeCell ref="L1:M1"/>
    <mergeCell ref="D116:D124"/>
    <mergeCell ref="C116:C124"/>
    <mergeCell ref="C114:C115"/>
    <mergeCell ref="D40:D113"/>
    <mergeCell ref="H40:H113"/>
    <mergeCell ref="C40:C113"/>
    <mergeCell ref="S136:S137"/>
    <mergeCell ref="V136:V137"/>
    <mergeCell ref="H18:H32"/>
    <mergeCell ref="P18:P32"/>
    <mergeCell ref="Q18:Q32"/>
    <mergeCell ref="P33:P39"/>
    <mergeCell ref="H33:H39"/>
    <mergeCell ref="V33:V39"/>
    <mergeCell ref="U33:U39"/>
    <mergeCell ref="H116:H124"/>
    <mergeCell ref="I116:I124"/>
    <mergeCell ref="V40:V113"/>
    <mergeCell ref="H114:H115"/>
    <mergeCell ref="P114:P115"/>
    <mergeCell ref="U114:U115"/>
    <mergeCell ref="V114:V115"/>
    <mergeCell ref="P40:P113"/>
    <mergeCell ref="Q40:Q113"/>
    <mergeCell ref="R40:R113"/>
    <mergeCell ref="Q114:Q115"/>
    <mergeCell ref="S40:S113"/>
    <mergeCell ref="T40:T113"/>
    <mergeCell ref="R114:R115"/>
    <mergeCell ref="S114:S115"/>
    <mergeCell ref="T114:T115"/>
    <mergeCell ref="V18:V32"/>
    <mergeCell ref="T33:T39"/>
    <mergeCell ref="U18:U32"/>
    <mergeCell ref="Q33:Q39"/>
    <mergeCell ref="S33:S39"/>
    <mergeCell ref="S18:S32"/>
    <mergeCell ref="T18:T32"/>
    <mergeCell ref="R18:R32"/>
    <mergeCell ref="R33:R39"/>
    <mergeCell ref="V116:V124"/>
    <mergeCell ref="O116:O124"/>
    <mergeCell ref="P116:P124"/>
    <mergeCell ref="Q116:Q124"/>
    <mergeCell ref="R116:R124"/>
    <mergeCell ref="S116:S124"/>
    <mergeCell ref="U116:U124"/>
    <mergeCell ref="T116:T124"/>
    <mergeCell ref="R153:R160"/>
    <mergeCell ref="S153:S160"/>
    <mergeCell ref="V159:V160"/>
    <mergeCell ref="V153:V158"/>
    <mergeCell ref="R138:R142"/>
    <mergeCell ref="T138:T142"/>
    <mergeCell ref="T149:T152"/>
    <mergeCell ref="R150:R152"/>
    <mergeCell ref="S150:S152"/>
    <mergeCell ref="I10:I12"/>
    <mergeCell ref="J10:J12"/>
    <mergeCell ref="H10:H12"/>
    <mergeCell ref="S10:S12"/>
    <mergeCell ref="T10:T12"/>
  </mergeCells>
  <pageMargins left="0.70866141732283472" right="0.70866141732283472" top="0.74803149606299213" bottom="0.74803149606299213" header="0.31496062992125984" footer="0.31496062992125984"/>
  <pageSetup paperSize="5" scale="30"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5"/>
  <sheetViews>
    <sheetView zoomScale="70" zoomScaleNormal="70" workbookViewId="0"/>
  </sheetViews>
  <sheetFormatPr defaultRowHeight="15" x14ac:dyDescent="0.25"/>
  <cols>
    <col min="1" max="1" width="3" customWidth="1"/>
    <col min="2" max="2" width="5.140625" customWidth="1"/>
    <col min="3" max="3" width="42.42578125" customWidth="1"/>
    <col min="4" max="4" width="14.7109375" customWidth="1"/>
    <col min="5" max="5" width="13.28515625" customWidth="1"/>
    <col min="6" max="6" width="15.140625" customWidth="1"/>
    <col min="7" max="7" width="12.85546875" customWidth="1"/>
    <col min="8" max="8" width="13" customWidth="1"/>
    <col min="9" max="9" width="16.5703125" customWidth="1"/>
    <col min="10" max="10" width="14.28515625" bestFit="1" customWidth="1"/>
    <col min="11" max="11" width="10.85546875" customWidth="1"/>
    <col min="13" max="13" width="10.5703125" bestFit="1" customWidth="1"/>
  </cols>
  <sheetData>
    <row r="1" spans="2:13" ht="14.45" x14ac:dyDescent="0.3">
      <c r="C1" s="112"/>
    </row>
    <row r="2" spans="2:13" ht="50.25" customHeight="1" x14ac:dyDescent="0.4">
      <c r="B2" s="235" t="s">
        <v>659</v>
      </c>
      <c r="C2" s="235"/>
      <c r="D2" s="235"/>
      <c r="E2" s="235"/>
      <c r="F2" s="235"/>
      <c r="G2" s="235"/>
      <c r="H2" s="235"/>
      <c r="I2" s="235"/>
      <c r="J2" s="235"/>
      <c r="K2" s="235"/>
    </row>
    <row r="3" spans="2:13" ht="18.75" x14ac:dyDescent="0.3">
      <c r="B3" s="236" t="s">
        <v>657</v>
      </c>
      <c r="C3" s="236"/>
      <c r="D3" s="236"/>
      <c r="E3" s="236"/>
      <c r="F3" s="236"/>
      <c r="G3" s="236"/>
      <c r="H3" s="236"/>
      <c r="I3" s="236"/>
      <c r="J3" s="236"/>
      <c r="K3" s="236"/>
    </row>
    <row r="4" spans="2:13" thickBot="1" x14ac:dyDescent="0.35">
      <c r="C4" s="112"/>
    </row>
    <row r="5" spans="2:13" thickBot="1" x14ac:dyDescent="0.35">
      <c r="B5" s="188"/>
      <c r="C5" s="189"/>
      <c r="D5" s="233" t="s">
        <v>456</v>
      </c>
      <c r="E5" s="234"/>
      <c r="F5" s="233" t="s">
        <v>457</v>
      </c>
      <c r="G5" s="234"/>
      <c r="H5" s="233" t="s">
        <v>458</v>
      </c>
      <c r="I5" s="234"/>
      <c r="J5" s="233" t="s">
        <v>647</v>
      </c>
      <c r="K5" s="234"/>
    </row>
    <row r="6" spans="2:13" ht="19.5" customHeight="1" x14ac:dyDescent="0.3">
      <c r="B6" s="177"/>
      <c r="C6" s="178" t="s">
        <v>655</v>
      </c>
      <c r="D6" s="175" t="s">
        <v>459</v>
      </c>
      <c r="E6" s="187" t="s">
        <v>658</v>
      </c>
      <c r="F6" s="175" t="s">
        <v>459</v>
      </c>
      <c r="G6" s="187" t="s">
        <v>658</v>
      </c>
      <c r="H6" s="175" t="s">
        <v>459</v>
      </c>
      <c r="I6" s="187" t="s">
        <v>658</v>
      </c>
      <c r="J6" s="175" t="s">
        <v>459</v>
      </c>
      <c r="K6" s="187" t="s">
        <v>658</v>
      </c>
    </row>
    <row r="7" spans="2:13" ht="31.5" x14ac:dyDescent="0.25">
      <c r="B7" s="179">
        <v>1</v>
      </c>
      <c r="C7" s="208" t="s">
        <v>449</v>
      </c>
      <c r="D7" s="171">
        <f>SUM('Montos por ejes'!A3:A120)/1000000</f>
        <v>149.77423248000002</v>
      </c>
      <c r="E7" s="172">
        <f>D7/$D$13</f>
        <v>0.26619419796522098</v>
      </c>
      <c r="F7" s="173">
        <f>+SUM('Montos por ejes'!C3:C10)/1000000</f>
        <v>65.570989999999995</v>
      </c>
      <c r="G7" s="172">
        <f>+F7/$F$13</f>
        <v>7.8530728718570544E-2</v>
      </c>
      <c r="H7" s="174">
        <f>+SUM('1 Matriz General'!N3:N126)/1000000</f>
        <v>6.9</v>
      </c>
      <c r="I7" s="172">
        <f>+H7/$H$13</f>
        <v>0.25949605651458563</v>
      </c>
      <c r="J7" s="174">
        <f>+D7+F7+H7</f>
        <v>222.24522248000002</v>
      </c>
      <c r="K7" s="172">
        <f>+J7/$J$13</f>
        <v>0.15604778145640966</v>
      </c>
    </row>
    <row r="8" spans="2:13" ht="31.5" x14ac:dyDescent="0.25">
      <c r="B8" s="179">
        <v>2</v>
      </c>
      <c r="C8" s="180" t="s">
        <v>452</v>
      </c>
      <c r="D8" s="171">
        <f>SUM('Montos por ejes'!A123)/1000000</f>
        <v>18.2</v>
      </c>
      <c r="E8" s="172">
        <f>D8/$D$13</f>
        <v>3.2346915238667368E-2</v>
      </c>
      <c r="F8" s="173">
        <f>+SUM('Montos por ejes'!C13)/1000000</f>
        <v>3.18</v>
      </c>
      <c r="G8" s="172">
        <f>+F8/$F$13</f>
        <v>3.8085091795175639E-3</v>
      </c>
      <c r="H8" s="174">
        <f>+SUM('1 Matriz General'!N127)/1000000</f>
        <v>0</v>
      </c>
      <c r="I8" s="172">
        <f t="shared" ref="I8:I12" si="0">+H8/$H$13</f>
        <v>0</v>
      </c>
      <c r="J8" s="174">
        <f t="shared" ref="J8:J12" si="1">+D8+F8+H8</f>
        <v>21.38</v>
      </c>
      <c r="K8" s="172">
        <f t="shared" ref="K8:K12" si="2">+J8/$J$13</f>
        <v>1.501180331486439E-2</v>
      </c>
    </row>
    <row r="9" spans="2:13" ht="47.25" x14ac:dyDescent="0.25">
      <c r="B9" s="179">
        <v>3</v>
      </c>
      <c r="C9" s="180" t="s">
        <v>455</v>
      </c>
      <c r="D9" s="171">
        <f>SUM('Montos por ejes'!A126:A139)/1000000</f>
        <v>121.32751366666666</v>
      </c>
      <c r="E9" s="172">
        <f t="shared" ref="E9:E11" si="3">D9/$D$13</f>
        <v>0.2156357582798859</v>
      </c>
      <c r="F9" s="174">
        <f>+SUM('Montos por ejes'!C16:C18)/1000000</f>
        <v>192.32</v>
      </c>
      <c r="G9" s="172">
        <f t="shared" ref="G9:G11" si="4">+F9/$F$13</f>
        <v>0.23033097025308735</v>
      </c>
      <c r="H9" s="174">
        <f>+SUM('1 Matriz General'!N128:N135)/1000000</f>
        <v>0</v>
      </c>
      <c r="I9" s="172">
        <f t="shared" si="0"/>
        <v>0</v>
      </c>
      <c r="J9" s="174">
        <f t="shared" si="1"/>
        <v>313.64751366666667</v>
      </c>
      <c r="K9" s="172">
        <f t="shared" si="2"/>
        <v>0.22022520043780361</v>
      </c>
    </row>
    <row r="10" spans="2:13" ht="31.15" x14ac:dyDescent="0.3">
      <c r="B10" s="179">
        <v>4</v>
      </c>
      <c r="C10" s="180" t="s">
        <v>451</v>
      </c>
      <c r="D10" s="171">
        <f>SUM('Montos por ejes'!A142:A156)/1000000</f>
        <v>261.30251713999996</v>
      </c>
      <c r="E10" s="172">
        <f t="shared" si="3"/>
        <v>0.46441375679000035</v>
      </c>
      <c r="F10" s="174">
        <f>+SUM('Montos por ejes'!C21:C36)/1000000</f>
        <v>540.90139685999998</v>
      </c>
      <c r="G10" s="172">
        <f t="shared" si="4"/>
        <v>0.64780752677835929</v>
      </c>
      <c r="H10" s="174">
        <f>+SUM('1 Matriz General'!N136:N161)/1000000</f>
        <v>19.689999449999998</v>
      </c>
      <c r="I10" s="172">
        <f t="shared" si="0"/>
        <v>0.74050394348541437</v>
      </c>
      <c r="J10" s="174">
        <f t="shared" si="1"/>
        <v>821.8939134499999</v>
      </c>
      <c r="K10" s="172">
        <f t="shared" si="2"/>
        <v>0.57708651891466678</v>
      </c>
    </row>
    <row r="11" spans="2:13" ht="28.5" customHeight="1" x14ac:dyDescent="0.25">
      <c r="B11" s="179">
        <v>5</v>
      </c>
      <c r="C11" s="180" t="s">
        <v>450</v>
      </c>
      <c r="D11" s="171">
        <f>SUM('Montos por ejes'!A159)/1000000</f>
        <v>0</v>
      </c>
      <c r="E11" s="172">
        <f t="shared" si="3"/>
        <v>0</v>
      </c>
      <c r="F11" s="174">
        <f>+SUM('Montos por ejes'!C39)/1000000</f>
        <v>18</v>
      </c>
      <c r="G11" s="172">
        <f t="shared" si="4"/>
        <v>2.1557599129344698E-2</v>
      </c>
      <c r="H11" s="174">
        <f>+SUM('1 Matriz General'!N162:N163)/1000000</f>
        <v>0</v>
      </c>
      <c r="I11" s="172">
        <f t="shared" si="0"/>
        <v>0</v>
      </c>
      <c r="J11" s="174">
        <f t="shared" si="1"/>
        <v>18</v>
      </c>
      <c r="K11" s="172">
        <f t="shared" si="2"/>
        <v>1.2638562192121564E-2</v>
      </c>
    </row>
    <row r="12" spans="2:13" ht="31.5" x14ac:dyDescent="0.25">
      <c r="B12" s="179">
        <v>6</v>
      </c>
      <c r="C12" s="180" t="s">
        <v>453</v>
      </c>
      <c r="D12" s="171">
        <f>SUM('Montos por ejes'!A161:A170)/1000000</f>
        <v>12.04598839</v>
      </c>
      <c r="E12" s="172">
        <f>D12/$D$13</f>
        <v>2.140937172622534E-2</v>
      </c>
      <c r="F12" s="174">
        <f>+SUM('Montos por ejes'!C42)/1000000</f>
        <v>15</v>
      </c>
      <c r="G12" s="172">
        <f>+F12/$F$13</f>
        <v>1.7964665941120582E-2</v>
      </c>
      <c r="H12" s="174">
        <f>+SUM('1 Matriz General'!N164:N172)/1000000</f>
        <v>0</v>
      </c>
      <c r="I12" s="172">
        <f t="shared" si="0"/>
        <v>0</v>
      </c>
      <c r="J12" s="174">
        <f t="shared" si="1"/>
        <v>27.045988389999998</v>
      </c>
      <c r="K12" s="172">
        <f t="shared" si="2"/>
        <v>1.899013368413404E-2</v>
      </c>
    </row>
    <row r="13" spans="2:13" thickBot="1" x14ac:dyDescent="0.35">
      <c r="B13" s="181"/>
      <c r="C13" s="182" t="s">
        <v>392</v>
      </c>
      <c r="D13" s="184">
        <f t="shared" ref="D13:I13" si="5">SUM(D7:D12)</f>
        <v>562.6502516766667</v>
      </c>
      <c r="E13" s="202">
        <f t="shared" si="5"/>
        <v>1</v>
      </c>
      <c r="F13" s="185">
        <f t="shared" si="5"/>
        <v>834.97238685999992</v>
      </c>
      <c r="G13" s="202">
        <f t="shared" si="5"/>
        <v>1.0000000000000002</v>
      </c>
      <c r="H13" s="186">
        <f t="shared" si="5"/>
        <v>26.589999450000001</v>
      </c>
      <c r="I13" s="202">
        <f t="shared" si="5"/>
        <v>1</v>
      </c>
      <c r="J13" s="186">
        <f t="shared" ref="J13:K13" si="6">SUM(J7:J12)</f>
        <v>1424.2126379866666</v>
      </c>
      <c r="K13" s="202">
        <f t="shared" si="6"/>
        <v>1</v>
      </c>
      <c r="L13" s="204">
        <f>+(F13-D13)/D13</f>
        <v>0.48399895738396681</v>
      </c>
      <c r="M13" s="205">
        <f>+F13-D13</f>
        <v>272.32213518333322</v>
      </c>
    </row>
    <row r="16" spans="2:13" ht="15.6" x14ac:dyDescent="0.3">
      <c r="C16" s="203" t="s">
        <v>665</v>
      </c>
    </row>
    <row r="17" spans="2:3" ht="14.45" x14ac:dyDescent="0.3">
      <c r="B17">
        <v>1</v>
      </c>
      <c r="C17" s="209" t="s">
        <v>675</v>
      </c>
    </row>
    <row r="18" spans="2:3" x14ac:dyDescent="0.25">
      <c r="B18">
        <v>2</v>
      </c>
      <c r="C18" s="209" t="s">
        <v>676</v>
      </c>
    </row>
    <row r="19" spans="2:3" x14ac:dyDescent="0.25">
      <c r="B19">
        <v>3</v>
      </c>
      <c r="C19" s="209" t="s">
        <v>677</v>
      </c>
    </row>
    <row r="20" spans="2:3" x14ac:dyDescent="0.25">
      <c r="B20">
        <v>4</v>
      </c>
      <c r="C20" s="209" t="s">
        <v>666</v>
      </c>
    </row>
    <row r="21" spans="2:3" ht="14.45" x14ac:dyDescent="0.3">
      <c r="B21">
        <v>5</v>
      </c>
      <c r="C21" s="209" t="s">
        <v>667</v>
      </c>
    </row>
    <row r="22" spans="2:3" x14ac:dyDescent="0.25">
      <c r="B22">
        <v>6</v>
      </c>
      <c r="C22" s="209" t="s">
        <v>668</v>
      </c>
    </row>
    <row r="23" spans="2:3" x14ac:dyDescent="0.25">
      <c r="B23">
        <v>7</v>
      </c>
      <c r="C23" s="209" t="s">
        <v>669</v>
      </c>
    </row>
    <row r="24" spans="2:3" x14ac:dyDescent="0.25">
      <c r="B24">
        <v>8</v>
      </c>
      <c r="C24" s="209" t="s">
        <v>678</v>
      </c>
    </row>
    <row r="25" spans="2:3" ht="14.45" x14ac:dyDescent="0.3">
      <c r="B25">
        <v>9</v>
      </c>
      <c r="C25" s="209" t="s">
        <v>679</v>
      </c>
    </row>
  </sheetData>
  <mergeCells count="6">
    <mergeCell ref="J5:K5"/>
    <mergeCell ref="D5:E5"/>
    <mergeCell ref="F5:G5"/>
    <mergeCell ref="H5:I5"/>
    <mergeCell ref="B2:K2"/>
    <mergeCell ref="B3:K3"/>
  </mergeCells>
  <conditionalFormatting sqref="G7:G12">
    <cfRule type="colorScale" priority="4">
      <colorScale>
        <cfvo type="min"/>
        <cfvo type="percentile" val="50"/>
        <cfvo type="max"/>
        <color rgb="FFF8696B"/>
        <color rgb="FFFFEB84"/>
        <color rgb="FF63BE7B"/>
      </colorScale>
    </cfRule>
  </conditionalFormatting>
  <conditionalFormatting sqref="I7:I12">
    <cfRule type="colorScale" priority="3">
      <colorScale>
        <cfvo type="min"/>
        <cfvo type="percentile" val="50"/>
        <cfvo type="max"/>
        <color rgb="FFF8696B"/>
        <color rgb="FFFFEB84"/>
        <color rgb="FF63BE7B"/>
      </colorScale>
    </cfRule>
  </conditionalFormatting>
  <conditionalFormatting sqref="E7:E12">
    <cfRule type="colorScale" priority="2">
      <colorScale>
        <cfvo type="min"/>
        <cfvo type="percentile" val="50"/>
        <cfvo type="max"/>
        <color rgb="FFF8696B"/>
        <color rgb="FFFFEB84"/>
        <color rgb="FF63BE7B"/>
      </colorScale>
    </cfRule>
  </conditionalFormatting>
  <conditionalFormatting sqref="K7:K12">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0"/>
  <sheetViews>
    <sheetView zoomScale="70" zoomScaleNormal="70" workbookViewId="0"/>
  </sheetViews>
  <sheetFormatPr defaultRowHeight="15" x14ac:dyDescent="0.25"/>
  <cols>
    <col min="1" max="1" width="3.85546875" customWidth="1"/>
    <col min="2" max="2" width="5.140625" customWidth="1"/>
    <col min="3" max="3" width="30.140625" customWidth="1"/>
    <col min="4" max="4" width="17.7109375" customWidth="1"/>
    <col min="5" max="5" width="11.5703125" customWidth="1"/>
    <col min="6" max="6" width="18" customWidth="1"/>
    <col min="7" max="7" width="12.5703125" customWidth="1"/>
    <col min="8" max="8" width="16.7109375" customWidth="1"/>
    <col min="9" max="9" width="13" customWidth="1"/>
    <col min="13" max="13" width="12.140625" customWidth="1"/>
  </cols>
  <sheetData>
    <row r="2" spans="1:9" ht="74.25" customHeight="1" x14ac:dyDescent="0.25">
      <c r="B2" s="239" t="s">
        <v>660</v>
      </c>
      <c r="C2" s="239"/>
      <c r="D2" s="239"/>
      <c r="E2" s="239"/>
      <c r="F2" s="239"/>
      <c r="G2" s="239"/>
      <c r="H2" s="239"/>
      <c r="I2" s="239"/>
    </row>
    <row r="3" spans="1:9" ht="18.75" x14ac:dyDescent="0.3">
      <c r="B3" s="236" t="s">
        <v>661</v>
      </c>
      <c r="C3" s="236"/>
      <c r="D3" s="236"/>
      <c r="E3" s="236"/>
      <c r="F3" s="236"/>
      <c r="G3" s="236"/>
      <c r="H3" s="236"/>
      <c r="I3" s="236"/>
    </row>
    <row r="5" spans="1:9" thickBot="1" x14ac:dyDescent="0.35">
      <c r="C5" s="112"/>
    </row>
    <row r="6" spans="1:9" thickBot="1" x14ac:dyDescent="0.35">
      <c r="C6" s="112"/>
      <c r="D6" s="237" t="s">
        <v>456</v>
      </c>
      <c r="E6" s="238"/>
      <c r="F6" s="237" t="s">
        <v>457</v>
      </c>
      <c r="G6" s="238"/>
      <c r="H6" s="237" t="s">
        <v>647</v>
      </c>
      <c r="I6" s="238"/>
    </row>
    <row r="7" spans="1:9" ht="15.6" x14ac:dyDescent="0.3">
      <c r="B7" s="177"/>
      <c r="C7" s="192"/>
      <c r="D7" s="175" t="s">
        <v>459</v>
      </c>
      <c r="E7" s="176"/>
      <c r="F7" s="175" t="s">
        <v>459</v>
      </c>
      <c r="G7" s="176"/>
      <c r="H7" s="175" t="s">
        <v>459</v>
      </c>
      <c r="I7" s="176"/>
    </row>
    <row r="8" spans="1:9" ht="14.45" x14ac:dyDescent="0.3">
      <c r="A8" s="190"/>
      <c r="B8" s="179">
        <v>1</v>
      </c>
      <c r="C8" s="193" t="s">
        <v>220</v>
      </c>
      <c r="D8" s="171">
        <f>SUM('Montos por cooperacion'!A3:A4)/1000000</f>
        <v>26.018301999999998</v>
      </c>
      <c r="E8" s="196">
        <f>D8/$D$27</f>
        <v>4.7461645641552808E-2</v>
      </c>
      <c r="F8" s="173">
        <f>+SUM('Montos por cooperacion'!C3)/1000000</f>
        <v>12.644878</v>
      </c>
      <c r="G8" s="172">
        <f t="shared" ref="G8:G25" si="0">+F8/$F$27</f>
        <v>1.5383580035218022E-2</v>
      </c>
      <c r="H8" s="173">
        <f>+D8+F8</f>
        <v>38.663179999999997</v>
      </c>
      <c r="I8" s="172">
        <f>+H8/$H$27</f>
        <v>2.8217823330281951E-2</v>
      </c>
    </row>
    <row r="9" spans="1:9" ht="14.45" x14ac:dyDescent="0.3">
      <c r="A9" s="190"/>
      <c r="B9" s="179">
        <v>2</v>
      </c>
      <c r="C9" s="193" t="s">
        <v>22</v>
      </c>
      <c r="D9" s="171">
        <f>(SUM('Montos por cooperacion'!A6:A14)+SUM('Montos por cooperacion'!A17:A19))/1000000</f>
        <v>160.46159900000001</v>
      </c>
      <c r="E9" s="196">
        <f t="shared" ref="E9:E24" si="1">D9/$D$27</f>
        <v>0.29270824632656445</v>
      </c>
      <c r="F9" s="173">
        <f>+('Montos por cooperacion'!C5+'Montos por cooperacion'!C6)/1000000</f>
        <v>147.44999999999999</v>
      </c>
      <c r="G9" s="172">
        <f t="shared" si="0"/>
        <v>0.1793855880770773</v>
      </c>
      <c r="H9" s="173">
        <f t="shared" ref="H9:H25" si="2">+D9+F9</f>
        <v>307.91159900000002</v>
      </c>
      <c r="I9" s="172">
        <f t="shared" ref="I9:I25" si="3">+H9/$H$27</f>
        <v>0.22472530976310334</v>
      </c>
    </row>
    <row r="10" spans="1:9" ht="14.45" x14ac:dyDescent="0.3">
      <c r="A10" s="190"/>
      <c r="B10" s="179">
        <v>3</v>
      </c>
      <c r="C10" s="193" t="s">
        <v>447</v>
      </c>
      <c r="D10" s="171">
        <f>('Montos por cooperacion'!A21+'Montos por cooperacion'!A23+'Montos por cooperacion'!A24+'Montos por cooperacion'!A26)/1000000</f>
        <v>27.772857219999999</v>
      </c>
      <c r="E10" s="196">
        <f t="shared" si="1"/>
        <v>5.0662241826122299E-2</v>
      </c>
      <c r="F10" s="173">
        <f>+('Montos por cooperacion'!C8+'Montos por cooperacion'!C9+'Montos por cooperacion'!C10+'Montos por cooperacion'!C11+'Montos por cooperacion'!C12+'Montos por cooperacion'!C13+'Montos por cooperacion'!C14+'Montos por cooperacion'!C15+'Montos por cooperacion'!C16+'Montos por cooperacion'!C17+'Montos por cooperacion'!C18+'Montos por cooperacion'!C19+'Montos por cooperacion'!C20+'Montos por cooperacion'!C22)/1000000</f>
        <v>256.77651886000001</v>
      </c>
      <c r="G10" s="172">
        <f t="shared" si="0"/>
        <v>0.31239068728440716</v>
      </c>
      <c r="H10" s="173">
        <f t="shared" si="2"/>
        <v>284.54937608</v>
      </c>
      <c r="I10" s="172">
        <f t="shared" si="3"/>
        <v>0.20767469263954483</v>
      </c>
    </row>
    <row r="11" spans="1:9" ht="14.45" x14ac:dyDescent="0.3">
      <c r="A11" s="190"/>
      <c r="B11" s="179">
        <v>4</v>
      </c>
      <c r="C11" s="193" t="s">
        <v>611</v>
      </c>
      <c r="D11" s="173">
        <f>('Montos por cooperacion'!A28+'Montos por cooperacion'!A29+'Montos por cooperacion'!A30)/1000000</f>
        <v>98.6</v>
      </c>
      <c r="E11" s="196">
        <f t="shared" si="1"/>
        <v>0.17986255445328855</v>
      </c>
      <c r="F11" s="173">
        <v>0</v>
      </c>
      <c r="G11" s="172">
        <f t="shared" si="0"/>
        <v>0</v>
      </c>
      <c r="H11" s="173">
        <f t="shared" si="2"/>
        <v>98.6</v>
      </c>
      <c r="I11" s="172">
        <f t="shared" si="3"/>
        <v>7.1961938473912399E-2</v>
      </c>
    </row>
    <row r="12" spans="1:9" x14ac:dyDescent="0.25">
      <c r="A12" s="190"/>
      <c r="B12" s="179">
        <v>5</v>
      </c>
      <c r="C12" s="193" t="s">
        <v>612</v>
      </c>
      <c r="D12" s="173">
        <f>+('Montos por cooperacion'!A32+'Montos por cooperacion'!A34+'Montos por cooperacion'!A35+'Montos por cooperacion'!A36+'Montos por cooperacion'!A37+'Montos por cooperacion'!A39+'Montos por cooperacion'!A40+'Montos por cooperacion'!A42)/1000000</f>
        <v>93.11466666666665</v>
      </c>
      <c r="E12" s="196">
        <f t="shared" si="1"/>
        <v>0.16985640774577226</v>
      </c>
      <c r="F12" s="173">
        <f>+SUM('Montos por cooperacion'!C27)/1000000</f>
        <v>13</v>
      </c>
      <c r="G12" s="172">
        <f t="shared" si="0"/>
        <v>1.5815616446266566E-2</v>
      </c>
      <c r="H12" s="173">
        <f t="shared" si="2"/>
        <v>106.11466666666665</v>
      </c>
      <c r="I12" s="172">
        <f t="shared" si="3"/>
        <v>7.7446421032924831E-2</v>
      </c>
    </row>
    <row r="13" spans="1:9" x14ac:dyDescent="0.25">
      <c r="A13" s="190"/>
      <c r="B13" s="179">
        <v>6</v>
      </c>
      <c r="C13" s="193" t="s">
        <v>609</v>
      </c>
      <c r="D13" s="173">
        <v>0</v>
      </c>
      <c r="E13" s="196">
        <f t="shared" si="1"/>
        <v>0</v>
      </c>
      <c r="F13" s="173">
        <f>+('Montos por cooperacion'!C29)/1000000</f>
        <v>15</v>
      </c>
      <c r="G13" s="172">
        <f t="shared" si="0"/>
        <v>1.8248788207230651E-2</v>
      </c>
      <c r="H13" s="173">
        <f t="shared" si="2"/>
        <v>15</v>
      </c>
      <c r="I13" s="172">
        <f t="shared" si="3"/>
        <v>1.0947556562968417E-2</v>
      </c>
    </row>
    <row r="14" spans="1:9" x14ac:dyDescent="0.25">
      <c r="A14" s="190"/>
      <c r="B14" s="179">
        <v>7</v>
      </c>
      <c r="C14" s="193" t="s">
        <v>608</v>
      </c>
      <c r="D14" s="171">
        <f>('Montos por cooperacion'!A44+'Montos por cooperacion'!A45+'Montos por cooperacion'!A46)/1000000</f>
        <v>3.384598</v>
      </c>
      <c r="E14" s="196">
        <f t="shared" si="1"/>
        <v>6.1740612786763856E-3</v>
      </c>
      <c r="F14" s="173">
        <f>('Montos por cooperacion'!C31+'Montos por cooperacion'!C32)/1000000</f>
        <v>1.7709900000000001</v>
      </c>
      <c r="G14" s="172">
        <f t="shared" si="0"/>
        <v>2.1545614284748942E-3</v>
      </c>
      <c r="H14" s="173">
        <f t="shared" si="2"/>
        <v>5.1555879999999998</v>
      </c>
      <c r="I14" s="172">
        <f t="shared" si="3"/>
        <v>3.7627394163574144E-3</v>
      </c>
    </row>
    <row r="15" spans="1:9" ht="14.45" x14ac:dyDescent="0.3">
      <c r="A15" s="190"/>
      <c r="B15" s="179">
        <v>8</v>
      </c>
      <c r="C15" s="193" t="s">
        <v>303</v>
      </c>
      <c r="D15" s="171">
        <v>0</v>
      </c>
      <c r="E15" s="196">
        <f t="shared" si="1"/>
        <v>0</v>
      </c>
      <c r="F15" s="173">
        <f>('Montos por cooperacion'!C34+'Montos por cooperacion'!C35+'Montos por cooperacion'!C36+'Montos por cooperacion'!C37)/1000000</f>
        <v>173.33</v>
      </c>
      <c r="G15" s="172">
        <f t="shared" si="0"/>
        <v>0.21087083066395262</v>
      </c>
      <c r="H15" s="173">
        <f t="shared" si="2"/>
        <v>173.33</v>
      </c>
      <c r="I15" s="172">
        <f t="shared" si="3"/>
        <v>0.12650266527062107</v>
      </c>
    </row>
    <row r="16" spans="1:9" x14ac:dyDescent="0.25">
      <c r="A16" s="190"/>
      <c r="B16" s="179">
        <v>9</v>
      </c>
      <c r="C16" s="193" t="s">
        <v>297</v>
      </c>
      <c r="D16" s="171">
        <v>0</v>
      </c>
      <c r="E16" s="196">
        <f t="shared" si="1"/>
        <v>0</v>
      </c>
      <c r="F16" s="173">
        <f>('Montos por cooperacion'!C39)/1000000</f>
        <v>13</v>
      </c>
      <c r="G16" s="172">
        <f t="shared" si="0"/>
        <v>1.5815616446266566E-2</v>
      </c>
      <c r="H16" s="173">
        <f t="shared" si="2"/>
        <v>13</v>
      </c>
      <c r="I16" s="172">
        <f t="shared" si="3"/>
        <v>9.4878823545726295E-3</v>
      </c>
    </row>
    <row r="17" spans="1:13" ht="14.45" x14ac:dyDescent="0.3">
      <c r="A17" s="190"/>
      <c r="B17" s="179">
        <v>10</v>
      </c>
      <c r="C17" s="193" t="s">
        <v>619</v>
      </c>
      <c r="D17" s="171">
        <f>(+'1 Matriz General'!J193)/1000000</f>
        <v>22.1</v>
      </c>
      <c r="E17" s="196">
        <f t="shared" si="1"/>
        <v>4.0314020825737096E-2</v>
      </c>
      <c r="F17" s="173">
        <v>0</v>
      </c>
      <c r="G17" s="172">
        <f t="shared" si="0"/>
        <v>0</v>
      </c>
      <c r="H17" s="173">
        <f t="shared" si="2"/>
        <v>22.1</v>
      </c>
      <c r="I17" s="172">
        <f t="shared" si="3"/>
        <v>1.6129400002773471E-2</v>
      </c>
    </row>
    <row r="18" spans="1:13" ht="14.45" x14ac:dyDescent="0.3">
      <c r="A18" s="190"/>
      <c r="B18" s="179">
        <v>11</v>
      </c>
      <c r="C18" s="193" t="s">
        <v>410</v>
      </c>
      <c r="D18" s="171">
        <f>('Montos por cooperacion'!A145+'Montos por cooperacion'!A146)/1000000</f>
        <v>5.2</v>
      </c>
      <c r="E18" s="196">
        <f t="shared" si="1"/>
        <v>9.4856519589969629E-3</v>
      </c>
      <c r="F18" s="173">
        <v>0</v>
      </c>
      <c r="G18" s="172">
        <f t="shared" si="0"/>
        <v>0</v>
      </c>
      <c r="H18" s="173">
        <f t="shared" si="2"/>
        <v>5.2</v>
      </c>
      <c r="I18" s="172">
        <f t="shared" si="3"/>
        <v>3.7951529418290518E-3</v>
      </c>
    </row>
    <row r="19" spans="1:13" ht="14.45" x14ac:dyDescent="0.3">
      <c r="A19" s="190"/>
      <c r="B19" s="179">
        <v>12</v>
      </c>
      <c r="C19" s="193" t="s">
        <v>486</v>
      </c>
      <c r="D19" s="171">
        <f>+('Montos por cooperacion'!A148+'Montos por cooperacion'!A149)/1000000</f>
        <v>13.301882000000001</v>
      </c>
      <c r="E19" s="196">
        <f t="shared" si="1"/>
        <v>2.4264812125316625E-2</v>
      </c>
      <c r="F19" s="173">
        <v>0</v>
      </c>
      <c r="G19" s="172">
        <f t="shared" si="0"/>
        <v>0</v>
      </c>
      <c r="H19" s="173">
        <f t="shared" si="2"/>
        <v>13.301882000000001</v>
      </c>
      <c r="I19" s="172">
        <f t="shared" si="3"/>
        <v>9.7082070392620987E-3</v>
      </c>
    </row>
    <row r="20" spans="1:13" ht="14.45" x14ac:dyDescent="0.3">
      <c r="A20" s="190"/>
      <c r="B20" s="179">
        <v>13</v>
      </c>
      <c r="C20" s="193" t="s">
        <v>620</v>
      </c>
      <c r="D20" s="171">
        <f>+('Montos por cooperacion'!A151+'Montos por cooperacion'!A152+'Montos por cooperacion'!A153+'Montos por cooperacion'!A154+'Montos por cooperacion'!A155+'Montos por cooperacion'!A157+'Montos por cooperacion'!A159)/1000000</f>
        <v>30.357187480000004</v>
      </c>
      <c r="E20" s="196">
        <f t="shared" si="1"/>
        <v>5.5376483632557719E-2</v>
      </c>
      <c r="F20" s="173">
        <v>0</v>
      </c>
      <c r="G20" s="172">
        <f t="shared" si="0"/>
        <v>0</v>
      </c>
      <c r="H20" s="173">
        <f t="shared" si="2"/>
        <v>30.357187480000004</v>
      </c>
      <c r="I20" s="172">
        <f t="shared" si="3"/>
        <v>2.2155801801995782E-2</v>
      </c>
    </row>
    <row r="21" spans="1:13" ht="14.45" x14ac:dyDescent="0.3">
      <c r="A21" s="190"/>
      <c r="B21" s="179">
        <v>14</v>
      </c>
      <c r="C21" s="193" t="s">
        <v>463</v>
      </c>
      <c r="D21" s="171">
        <f>+('Montos por cooperacion'!A161+'Montos por cooperacion'!A162)/1000000</f>
        <v>1.8</v>
      </c>
      <c r="E21" s="196">
        <f t="shared" si="1"/>
        <v>3.2834949088835644E-3</v>
      </c>
      <c r="F21" s="173">
        <v>0</v>
      </c>
      <c r="G21" s="172">
        <f t="shared" si="0"/>
        <v>0</v>
      </c>
      <c r="H21" s="173">
        <f t="shared" si="2"/>
        <v>1.8</v>
      </c>
      <c r="I21" s="172">
        <f t="shared" si="3"/>
        <v>1.3137067875562101E-3</v>
      </c>
    </row>
    <row r="22" spans="1:13" x14ac:dyDescent="0.25">
      <c r="A22" s="190"/>
      <c r="B22" s="179">
        <v>15</v>
      </c>
      <c r="C22" s="193" t="s">
        <v>621</v>
      </c>
      <c r="D22" s="171">
        <f>+('Montos por cooperacion'!A164)/1000000</f>
        <v>0.5</v>
      </c>
      <c r="E22" s="196">
        <f t="shared" si="1"/>
        <v>9.1208191913432336E-4</v>
      </c>
      <c r="F22" s="173">
        <v>0</v>
      </c>
      <c r="G22" s="172">
        <f t="shared" si="0"/>
        <v>0</v>
      </c>
      <c r="H22" s="173">
        <f t="shared" si="2"/>
        <v>0.5</v>
      </c>
      <c r="I22" s="172">
        <f t="shared" si="3"/>
        <v>3.6491855209894728E-4</v>
      </c>
    </row>
    <row r="23" spans="1:13" x14ac:dyDescent="0.25">
      <c r="A23" s="190"/>
      <c r="B23" s="179">
        <v>16</v>
      </c>
      <c r="C23" s="193" t="s">
        <v>622</v>
      </c>
      <c r="D23" s="171">
        <f>+('Montos por cooperacion'!A166+'Montos por cooperacion'!A167)/1000000</f>
        <v>48.69</v>
      </c>
      <c r="E23" s="196">
        <f t="shared" si="1"/>
        <v>8.8818537285300411E-2</v>
      </c>
      <c r="F23" s="173">
        <v>0</v>
      </c>
      <c r="G23" s="172">
        <f t="shared" si="0"/>
        <v>0</v>
      </c>
      <c r="H23" s="173">
        <f t="shared" si="2"/>
        <v>48.69</v>
      </c>
      <c r="I23" s="172">
        <f t="shared" si="3"/>
        <v>3.5535768603395482E-2</v>
      </c>
    </row>
    <row r="24" spans="1:13" ht="14.45" x14ac:dyDescent="0.3">
      <c r="A24" s="190"/>
      <c r="B24" s="179">
        <v>17</v>
      </c>
      <c r="C24" s="193" t="s">
        <v>391</v>
      </c>
      <c r="D24" s="171">
        <f>+('Montos por cooperacion'!A169+'Montos por cooperacion'!A171+'Montos por cooperacion'!A172+'Montos por cooperacion'!A173+'Montos por cooperacion'!A174+'Montos por cooperacion'!A175+'Montos por cooperacion'!A176+'Montos por cooperacion'!A178+'Montos por cooperacion'!A179+'Montos por cooperacion'!A180+'Montos por cooperacion'!A181+'Montos por cooperacion'!A182+'Montos por cooperacion'!A183+'Montos por cooperacion'!A184+'Montos por cooperacion'!A185+'Montos por cooperacion'!A186+'Montos por cooperacion'!A187+'Montos por cooperacion'!A188+'Montos por cooperacion'!A189)/1000000</f>
        <v>16.89528069</v>
      </c>
      <c r="E24" s="196">
        <f t="shared" si="1"/>
        <v>3.0819760072096553E-2</v>
      </c>
      <c r="F24" s="173">
        <f>('Montos por cooperacion'!C41)/1000000</f>
        <v>9</v>
      </c>
      <c r="G24" s="172">
        <f t="shared" si="0"/>
        <v>1.0949272924338392E-2</v>
      </c>
      <c r="H24" s="173">
        <f t="shared" si="2"/>
        <v>25.89528069</v>
      </c>
      <c r="I24" s="172">
        <f t="shared" si="3"/>
        <v>1.8899336671181256E-2</v>
      </c>
    </row>
    <row r="25" spans="1:13" x14ac:dyDescent="0.25">
      <c r="A25" s="190"/>
      <c r="B25" s="179">
        <v>18</v>
      </c>
      <c r="C25" s="193" t="s">
        <v>648</v>
      </c>
      <c r="D25" s="171">
        <v>0</v>
      </c>
      <c r="E25" s="197"/>
      <c r="F25" s="200">
        <f>+('Montos por cooperacion'!C45)/1000000</f>
        <v>180</v>
      </c>
      <c r="G25" s="172">
        <f t="shared" si="0"/>
        <v>0.21898545848676781</v>
      </c>
      <c r="H25" s="173">
        <f t="shared" si="2"/>
        <v>180</v>
      </c>
      <c r="I25" s="172">
        <f t="shared" si="3"/>
        <v>0.131370678755621</v>
      </c>
      <c r="M25" s="206"/>
    </row>
    <row r="26" spans="1:13" ht="14.45" x14ac:dyDescent="0.3">
      <c r="A26" s="190"/>
      <c r="B26" s="191"/>
      <c r="C26" s="194"/>
      <c r="D26" s="171"/>
      <c r="E26" s="197"/>
      <c r="F26" s="200"/>
      <c r="G26" s="172"/>
      <c r="H26" s="200"/>
      <c r="I26" s="172"/>
    </row>
    <row r="27" spans="1:13" thickBot="1" x14ac:dyDescent="0.35">
      <c r="B27" s="183"/>
      <c r="C27" s="195" t="s">
        <v>656</v>
      </c>
      <c r="D27" s="198">
        <f t="shared" ref="D27:I27" si="4">SUM(D8:D25)</f>
        <v>548.19637305666663</v>
      </c>
      <c r="E27" s="199">
        <f t="shared" si="4"/>
        <v>1</v>
      </c>
      <c r="F27" s="198">
        <f t="shared" si="4"/>
        <v>821.97238686000003</v>
      </c>
      <c r="G27" s="201">
        <f t="shared" si="4"/>
        <v>1</v>
      </c>
      <c r="H27" s="198">
        <f t="shared" si="4"/>
        <v>1370.1687599166664</v>
      </c>
      <c r="I27" s="201">
        <f t="shared" si="4"/>
        <v>1.0000000000000002</v>
      </c>
    </row>
    <row r="30" spans="1:13" ht="15.6" x14ac:dyDescent="0.3">
      <c r="C30" s="203" t="s">
        <v>665</v>
      </c>
    </row>
    <row r="31" spans="1:13" x14ac:dyDescent="0.25">
      <c r="B31">
        <v>1</v>
      </c>
      <c r="C31" t="s">
        <v>670</v>
      </c>
    </row>
    <row r="32" spans="1:13" x14ac:dyDescent="0.25">
      <c r="B32">
        <v>2</v>
      </c>
      <c r="C32" t="s">
        <v>680</v>
      </c>
    </row>
    <row r="33" spans="2:12" x14ac:dyDescent="0.25">
      <c r="B33">
        <v>3</v>
      </c>
      <c r="C33" t="s">
        <v>681</v>
      </c>
    </row>
    <row r="34" spans="2:12" x14ac:dyDescent="0.25">
      <c r="B34">
        <v>4</v>
      </c>
      <c r="C34" s="207" t="s">
        <v>682</v>
      </c>
      <c r="D34" s="207"/>
      <c r="E34" s="207"/>
      <c r="F34" s="207"/>
      <c r="G34" s="207"/>
      <c r="H34" s="207"/>
      <c r="I34" s="207"/>
      <c r="J34" s="207"/>
      <c r="K34" s="207"/>
      <c r="L34" s="207"/>
    </row>
    <row r="35" spans="2:12" x14ac:dyDescent="0.25">
      <c r="B35">
        <v>5</v>
      </c>
      <c r="C35" s="207" t="s">
        <v>683</v>
      </c>
      <c r="D35" s="207"/>
      <c r="E35" s="207"/>
      <c r="F35" s="207"/>
      <c r="G35" s="207"/>
    </row>
    <row r="36" spans="2:12" x14ac:dyDescent="0.25">
      <c r="B36">
        <v>6</v>
      </c>
      <c r="C36" s="207" t="s">
        <v>672</v>
      </c>
    </row>
    <row r="37" spans="2:12" x14ac:dyDescent="0.25">
      <c r="B37">
        <v>7</v>
      </c>
      <c r="C37" s="207" t="s">
        <v>684</v>
      </c>
    </row>
    <row r="38" spans="2:12" x14ac:dyDescent="0.25">
      <c r="B38">
        <v>8</v>
      </c>
      <c r="C38" s="207" t="s">
        <v>685</v>
      </c>
    </row>
    <row r="39" spans="2:12" x14ac:dyDescent="0.25">
      <c r="B39">
        <v>9</v>
      </c>
      <c r="C39" s="207" t="s">
        <v>686</v>
      </c>
    </row>
    <row r="40" spans="2:12" x14ac:dyDescent="0.25">
      <c r="B40">
        <v>10</v>
      </c>
      <c r="C40" s="207" t="s">
        <v>687</v>
      </c>
    </row>
  </sheetData>
  <sortState ref="C21:C35">
    <sortCondition ref="C21"/>
  </sortState>
  <mergeCells count="5">
    <mergeCell ref="H6:I6"/>
    <mergeCell ref="B3:I3"/>
    <mergeCell ref="D6:E6"/>
    <mergeCell ref="F6:G6"/>
    <mergeCell ref="B2:I2"/>
  </mergeCells>
  <conditionalFormatting sqref="G8:G26">
    <cfRule type="colorScale" priority="4">
      <colorScale>
        <cfvo type="min"/>
        <cfvo type="percentile" val="50"/>
        <cfvo type="max"/>
        <color rgb="FFF8696B"/>
        <color rgb="FFFFEB84"/>
        <color rgb="FF63BE7B"/>
      </colorScale>
    </cfRule>
  </conditionalFormatting>
  <conditionalFormatting sqref="E8:E24">
    <cfRule type="colorScale" priority="2">
      <colorScale>
        <cfvo type="min"/>
        <cfvo type="percentile" val="50"/>
        <cfvo type="max"/>
        <color rgb="FFF8696B"/>
        <color rgb="FFFFEB84"/>
        <color rgb="FF63BE7B"/>
      </colorScale>
    </cfRule>
  </conditionalFormatting>
  <conditionalFormatting sqref="I8:I26">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H52"/>
  <sheetViews>
    <sheetView topLeftCell="C1" zoomScale="85" zoomScaleNormal="85" workbookViewId="0">
      <selection activeCell="C1" sqref="C1"/>
    </sheetView>
  </sheetViews>
  <sheetFormatPr defaultRowHeight="15" x14ac:dyDescent="0.25"/>
  <cols>
    <col min="1" max="1" width="3.5703125" customWidth="1"/>
    <col min="2" max="2" width="4.140625" customWidth="1"/>
    <col min="3" max="3" width="22" customWidth="1"/>
    <col min="4" max="4" width="11.140625" customWidth="1"/>
    <col min="5" max="5" width="15.42578125" customWidth="1"/>
    <col min="6" max="6" width="12.5703125" customWidth="1"/>
    <col min="7" max="7" width="13" customWidth="1"/>
    <col min="8" max="8" width="10.7109375" customWidth="1"/>
    <col min="9" max="9" width="12.42578125" customWidth="1"/>
    <col min="10" max="10" width="10" customWidth="1"/>
    <col min="12" max="12" width="2.140625" bestFit="1" customWidth="1"/>
  </cols>
  <sheetData>
    <row r="2" spans="2:34" ht="38.25" customHeight="1" x14ac:dyDescent="0.25">
      <c r="B2" s="24"/>
      <c r="C2" s="241" t="s">
        <v>664</v>
      </c>
      <c r="D2" s="242"/>
      <c r="E2" s="242"/>
      <c r="F2" s="242"/>
      <c r="G2" s="242"/>
      <c r="H2" s="242"/>
      <c r="I2" s="242"/>
      <c r="J2" s="243"/>
    </row>
    <row r="3" spans="2:34" ht="18.75" x14ac:dyDescent="0.25">
      <c r="B3" s="24"/>
      <c r="C3" s="241" t="s">
        <v>662</v>
      </c>
      <c r="D3" s="242"/>
      <c r="E3" s="242"/>
      <c r="F3" s="242"/>
      <c r="G3" s="242"/>
      <c r="H3" s="242"/>
      <c r="I3" s="242"/>
      <c r="J3" s="243"/>
    </row>
    <row r="4" spans="2:34" ht="14.45" x14ac:dyDescent="0.3">
      <c r="B4" s="24"/>
      <c r="C4" s="24"/>
      <c r="D4" s="240" t="s">
        <v>646</v>
      </c>
      <c r="E4" s="240"/>
      <c r="F4" s="240"/>
      <c r="G4" s="240"/>
      <c r="H4" s="240"/>
      <c r="I4" s="240"/>
      <c r="J4" s="164"/>
    </row>
    <row r="5" spans="2:34" ht="40.5" customHeight="1" x14ac:dyDescent="0.25">
      <c r="B5" s="159"/>
      <c r="C5" s="159"/>
      <c r="D5" s="165" t="s">
        <v>649</v>
      </c>
      <c r="E5" s="166" t="s">
        <v>654</v>
      </c>
      <c r="F5" s="165" t="s">
        <v>650</v>
      </c>
      <c r="G5" s="167" t="s">
        <v>651</v>
      </c>
      <c r="H5" s="165" t="s">
        <v>652</v>
      </c>
      <c r="I5" s="166" t="s">
        <v>653</v>
      </c>
      <c r="J5" s="168" t="s">
        <v>647</v>
      </c>
      <c r="M5" s="203" t="s">
        <v>665</v>
      </c>
    </row>
    <row r="6" spans="2:34" x14ac:dyDescent="0.25">
      <c r="B6" s="168">
        <v>1</v>
      </c>
      <c r="C6" s="169" t="s">
        <v>220</v>
      </c>
      <c r="D6" s="32"/>
      <c r="E6" s="32"/>
      <c r="F6" s="157">
        <f>'Montos x Coop x Eje'!B3</f>
        <v>0.42502012621730656</v>
      </c>
      <c r="G6" s="157">
        <f>+'Montos x Coop x Eje'!B5</f>
        <v>0.57497987378269344</v>
      </c>
      <c r="H6" s="32"/>
      <c r="I6" s="32"/>
      <c r="J6" s="160">
        <f>SUM(D6:I6)</f>
        <v>1</v>
      </c>
      <c r="L6">
        <v>1</v>
      </c>
      <c r="M6" t="s">
        <v>688</v>
      </c>
    </row>
    <row r="7" spans="2:34" x14ac:dyDescent="0.25">
      <c r="B7" s="168">
        <v>2</v>
      </c>
      <c r="C7" s="169" t="s">
        <v>22</v>
      </c>
      <c r="D7" s="157">
        <f>'Montos x Coop x Eje'!B8</f>
        <v>0.42565697603449659</v>
      </c>
      <c r="E7" s="32"/>
      <c r="F7" s="32"/>
      <c r="G7" s="157">
        <f>+'Montos x Coop x Eje'!B18</f>
        <v>0.57434302396550341</v>
      </c>
      <c r="H7" s="32"/>
      <c r="I7" s="32"/>
      <c r="J7" s="160">
        <f t="shared" ref="J7:J24" si="0">SUM(D7:I7)</f>
        <v>1</v>
      </c>
      <c r="L7">
        <v>2</v>
      </c>
      <c r="M7" t="s">
        <v>689</v>
      </c>
    </row>
    <row r="8" spans="2:34" x14ac:dyDescent="0.25">
      <c r="B8" s="168">
        <v>3</v>
      </c>
      <c r="C8" s="169" t="s">
        <v>447</v>
      </c>
      <c r="D8" s="157"/>
      <c r="E8" s="32"/>
      <c r="F8" s="157">
        <f>+'Montos x Coop x Eje'!B33</f>
        <v>0.72012756345420048</v>
      </c>
      <c r="G8" s="157">
        <f>+'Montos x Coop x Eje'!B29</f>
        <v>0.2683503955305323</v>
      </c>
      <c r="H8" s="32"/>
      <c r="I8" s="32"/>
      <c r="J8" s="160">
        <f t="shared" si="0"/>
        <v>0.98847795898473279</v>
      </c>
      <c r="L8">
        <v>3</v>
      </c>
      <c r="M8" t="s">
        <v>671</v>
      </c>
    </row>
    <row r="9" spans="2:34" x14ac:dyDescent="0.25">
      <c r="B9" s="168">
        <v>4</v>
      </c>
      <c r="C9" s="169" t="s">
        <v>611</v>
      </c>
      <c r="D9" s="32"/>
      <c r="E9" s="32"/>
      <c r="F9" s="157">
        <f>+'Montos x Coop x Eje'!B36</f>
        <v>0.13793103448275862</v>
      </c>
      <c r="G9" s="157">
        <f>'Montos x Coop x Eje'!B39</f>
        <v>0.86206896551724133</v>
      </c>
      <c r="H9" s="32"/>
      <c r="I9" s="32"/>
      <c r="J9" s="160">
        <f t="shared" si="0"/>
        <v>1</v>
      </c>
      <c r="L9">
        <v>4</v>
      </c>
      <c r="M9" s="207" t="s">
        <v>690</v>
      </c>
      <c r="N9" s="207"/>
      <c r="O9" s="207"/>
      <c r="P9" s="207"/>
      <c r="Q9" s="207"/>
      <c r="R9" s="207"/>
      <c r="S9" s="207"/>
      <c r="T9" s="207"/>
      <c r="U9" s="207"/>
      <c r="V9" s="207"/>
      <c r="W9" s="207"/>
      <c r="X9" s="207"/>
      <c r="Y9" s="207"/>
      <c r="Z9" s="207"/>
      <c r="AA9" s="207"/>
      <c r="AB9" s="207"/>
      <c r="AC9" s="207"/>
      <c r="AD9" s="207"/>
      <c r="AE9" s="207"/>
      <c r="AF9" s="207"/>
      <c r="AG9" s="207"/>
      <c r="AH9" s="207"/>
    </row>
    <row r="10" spans="2:34" x14ac:dyDescent="0.25">
      <c r="B10" s="168">
        <v>5</v>
      </c>
      <c r="C10" s="169" t="s">
        <v>612</v>
      </c>
      <c r="D10" s="32"/>
      <c r="E10" s="157">
        <f>'Montos x Coop x Eje'!B45</f>
        <v>0.19545793000744602</v>
      </c>
      <c r="F10" s="157">
        <f>'Montos x Coop x Eje'!B42</f>
        <v>0.52531645569620256</v>
      </c>
      <c r="G10" s="157">
        <f>'Montos x Coop x Eje'!B53</f>
        <v>0.2024385703648548</v>
      </c>
      <c r="H10" s="32"/>
      <c r="I10" s="157">
        <f>'Montos x Coop x Eje'!B50</f>
        <v>7.6787043931496643E-2</v>
      </c>
      <c r="J10" s="160">
        <f t="shared" si="0"/>
        <v>1</v>
      </c>
      <c r="L10">
        <v>5</v>
      </c>
      <c r="M10" s="207" t="s">
        <v>691</v>
      </c>
      <c r="N10" s="207"/>
      <c r="O10" s="207"/>
      <c r="P10" s="207"/>
      <c r="Q10" s="207"/>
      <c r="R10" s="207"/>
      <c r="S10" s="207"/>
      <c r="T10" s="207"/>
      <c r="U10" s="207"/>
      <c r="V10" s="207"/>
      <c r="W10" s="207"/>
      <c r="X10" s="207"/>
      <c r="Y10" s="207"/>
      <c r="Z10" s="207"/>
      <c r="AA10" s="207"/>
      <c r="AB10" s="207"/>
      <c r="AC10" s="207"/>
      <c r="AD10" s="207"/>
      <c r="AE10" s="207"/>
      <c r="AF10" s="207"/>
      <c r="AG10" s="207"/>
      <c r="AH10" s="207"/>
    </row>
    <row r="11" spans="2:34" x14ac:dyDescent="0.25">
      <c r="B11" s="168">
        <v>6</v>
      </c>
      <c r="C11" s="169" t="s">
        <v>609</v>
      </c>
      <c r="D11" s="32"/>
      <c r="E11" s="32"/>
      <c r="F11" s="32"/>
      <c r="G11" s="32"/>
      <c r="H11" s="32"/>
      <c r="I11" s="32"/>
      <c r="J11" s="160">
        <f t="shared" si="0"/>
        <v>0</v>
      </c>
      <c r="L11">
        <v>6</v>
      </c>
      <c r="M11" s="207" t="s">
        <v>692</v>
      </c>
    </row>
    <row r="12" spans="2:34" x14ac:dyDescent="0.25">
      <c r="B12" s="168">
        <v>7</v>
      </c>
      <c r="C12" s="169" t="s">
        <v>608</v>
      </c>
      <c r="D12" s="157">
        <f>'Montos x Coop x Eje'!B60</f>
        <v>1</v>
      </c>
      <c r="E12" s="32"/>
      <c r="F12" s="32"/>
      <c r="G12" s="32"/>
      <c r="H12" s="32"/>
      <c r="I12" s="32"/>
      <c r="J12" s="160">
        <f t="shared" si="0"/>
        <v>1</v>
      </c>
      <c r="L12">
        <v>7</v>
      </c>
      <c r="M12" s="207" t="s">
        <v>673</v>
      </c>
    </row>
    <row r="13" spans="2:34" ht="14.45" x14ac:dyDescent="0.3">
      <c r="B13" s="168">
        <v>8</v>
      </c>
      <c r="C13" s="169" t="s">
        <v>303</v>
      </c>
      <c r="D13" s="32"/>
      <c r="E13" s="32"/>
      <c r="F13" s="32"/>
      <c r="G13" s="32"/>
      <c r="H13" s="32"/>
      <c r="I13" s="32"/>
      <c r="J13" s="160">
        <f t="shared" si="0"/>
        <v>0</v>
      </c>
    </row>
    <row r="14" spans="2:34" x14ac:dyDescent="0.25">
      <c r="B14" s="168">
        <v>9</v>
      </c>
      <c r="C14" s="169" t="s">
        <v>297</v>
      </c>
      <c r="D14" s="32"/>
      <c r="E14" s="32"/>
      <c r="F14" s="32"/>
      <c r="G14" s="32"/>
      <c r="H14" s="32"/>
      <c r="I14" s="32"/>
      <c r="J14" s="160">
        <f t="shared" si="0"/>
        <v>0</v>
      </c>
    </row>
    <row r="15" spans="2:34" ht="14.45" x14ac:dyDescent="0.3">
      <c r="B15" s="168">
        <v>10</v>
      </c>
      <c r="C15" s="169" t="s">
        <v>619</v>
      </c>
      <c r="D15" s="32"/>
      <c r="E15" s="32"/>
      <c r="F15" s="157">
        <f>'Montos x Coop x Eje'!B168</f>
        <v>1</v>
      </c>
      <c r="G15" s="32"/>
      <c r="H15" s="32"/>
      <c r="I15" s="32"/>
      <c r="J15" s="160">
        <f t="shared" si="0"/>
        <v>1</v>
      </c>
    </row>
    <row r="16" spans="2:34" ht="14.45" x14ac:dyDescent="0.3">
      <c r="B16" s="168">
        <v>11</v>
      </c>
      <c r="C16" s="169" t="s">
        <v>410</v>
      </c>
      <c r="D16" s="157">
        <f>'Montos x Coop x Eje'!B171</f>
        <v>1</v>
      </c>
      <c r="E16" s="32"/>
      <c r="F16" s="32"/>
      <c r="G16" s="32"/>
      <c r="H16" s="32"/>
      <c r="I16" s="32"/>
      <c r="J16" s="160">
        <f t="shared" si="0"/>
        <v>1</v>
      </c>
    </row>
    <row r="17" spans="2:13" ht="14.45" x14ac:dyDescent="0.3">
      <c r="B17" s="168">
        <v>12</v>
      </c>
      <c r="C17" s="169" t="s">
        <v>486</v>
      </c>
      <c r="D17" s="157">
        <f>'Montos x Coop x Eje'!B175</f>
        <v>7.65921694388809E-3</v>
      </c>
      <c r="E17" s="32"/>
      <c r="F17" s="32"/>
      <c r="G17" s="157">
        <f>'Montos x Coop x Eje'!B178</f>
        <v>0.99234078305611195</v>
      </c>
      <c r="H17" s="32"/>
      <c r="I17" s="32"/>
      <c r="J17" s="160">
        <f t="shared" si="0"/>
        <v>1</v>
      </c>
    </row>
    <row r="18" spans="2:13" ht="14.45" x14ac:dyDescent="0.3">
      <c r="B18" s="168">
        <v>13</v>
      </c>
      <c r="C18" s="169" t="s">
        <v>620</v>
      </c>
      <c r="D18" s="32"/>
      <c r="E18" s="32"/>
      <c r="F18" s="157">
        <f>'Montos x Coop x Eje'!B187</f>
        <v>0.10720838358771435</v>
      </c>
      <c r="G18" s="157">
        <f>'Montos x Coop x Eje'!B180</f>
        <v>0.89279161641228566</v>
      </c>
      <c r="H18" s="32"/>
      <c r="I18" s="32"/>
      <c r="J18" s="160">
        <f t="shared" si="0"/>
        <v>1</v>
      </c>
    </row>
    <row r="19" spans="2:13" ht="14.45" x14ac:dyDescent="0.3">
      <c r="B19" s="168">
        <v>14</v>
      </c>
      <c r="C19" s="169" t="s">
        <v>463</v>
      </c>
      <c r="D19" s="157">
        <f>'Montos x Coop x Eje'!B193</f>
        <v>1</v>
      </c>
      <c r="E19" s="32"/>
      <c r="F19" s="32"/>
      <c r="G19" s="32"/>
      <c r="H19" s="32"/>
      <c r="I19" s="32"/>
      <c r="J19" s="160">
        <f t="shared" si="0"/>
        <v>1</v>
      </c>
    </row>
    <row r="20" spans="2:13" x14ac:dyDescent="0.25">
      <c r="B20" s="168">
        <v>15</v>
      </c>
      <c r="C20" s="169" t="s">
        <v>621</v>
      </c>
      <c r="D20" s="32"/>
      <c r="E20" s="32"/>
      <c r="F20" s="157">
        <f>'Montos x Coop x Eje'!B197</f>
        <v>1</v>
      </c>
      <c r="G20" s="32"/>
      <c r="H20" s="32"/>
      <c r="I20" s="32"/>
      <c r="J20" s="160">
        <f t="shared" si="0"/>
        <v>1</v>
      </c>
    </row>
    <row r="21" spans="2:13" x14ac:dyDescent="0.25">
      <c r="B21" s="168">
        <v>16</v>
      </c>
      <c r="C21" s="169" t="s">
        <v>622</v>
      </c>
      <c r="D21" s="157">
        <f>'Montos x Coop x Eje'!B201</f>
        <v>0.96919285274183609</v>
      </c>
      <c r="E21" s="32"/>
      <c r="F21" s="32"/>
      <c r="G21" s="32"/>
      <c r="H21" s="32"/>
      <c r="I21" s="157">
        <f>'Montos x Coop x Eje'!B203</f>
        <v>3.0807147258163893E-2</v>
      </c>
      <c r="J21" s="160">
        <f t="shared" si="0"/>
        <v>1</v>
      </c>
    </row>
    <row r="22" spans="2:13" ht="14.45" x14ac:dyDescent="0.3">
      <c r="B22" s="168">
        <v>17</v>
      </c>
      <c r="C22" s="169" t="s">
        <v>391</v>
      </c>
      <c r="D22" s="157">
        <f>'Montos x Coop x Eje'!B205</f>
        <v>0.73974877833177943</v>
      </c>
      <c r="E22" s="32"/>
      <c r="F22" s="157">
        <f>'Montos x Coop x Eje'!B212</f>
        <v>0.11245743914302496</v>
      </c>
      <c r="G22" s="157">
        <f>'Montos x Coop x Eje'!B215</f>
        <v>0.14779378252519579</v>
      </c>
      <c r="H22" s="32"/>
      <c r="I22" s="32"/>
      <c r="J22" s="160">
        <f t="shared" si="0"/>
        <v>1.0000000000000002</v>
      </c>
    </row>
    <row r="23" spans="2:13" x14ac:dyDescent="0.25">
      <c r="B23" s="168">
        <v>18</v>
      </c>
      <c r="C23" s="169" t="s">
        <v>648</v>
      </c>
      <c r="D23" s="32"/>
      <c r="E23" s="32"/>
      <c r="F23" s="32"/>
      <c r="G23" s="32"/>
      <c r="H23" s="32"/>
      <c r="I23" s="32"/>
      <c r="J23" s="160">
        <f t="shared" si="0"/>
        <v>0</v>
      </c>
    </row>
    <row r="24" spans="2:13" ht="14.45" x14ac:dyDescent="0.3">
      <c r="B24" s="170"/>
      <c r="C24" s="170"/>
      <c r="D24" s="161">
        <f>SUM(D6:D23)</f>
        <v>5.1422578240519998</v>
      </c>
      <c r="E24" s="161">
        <f t="shared" ref="E24:I24" si="1">SUM(E6:E23)</f>
        <v>0.19545793000744602</v>
      </c>
      <c r="F24" s="161">
        <f t="shared" si="1"/>
        <v>4.0280610025812074</v>
      </c>
      <c r="G24" s="161">
        <f t="shared" si="1"/>
        <v>4.5151070111544183</v>
      </c>
      <c r="H24" s="161">
        <f t="shared" si="1"/>
        <v>0</v>
      </c>
      <c r="I24" s="161">
        <f t="shared" si="1"/>
        <v>0.10759419118966054</v>
      </c>
      <c r="J24" s="162">
        <f t="shared" si="0"/>
        <v>13.988477958984731</v>
      </c>
    </row>
    <row r="25" spans="2:13" ht="14.45" x14ac:dyDescent="0.3">
      <c r="B25" s="169"/>
      <c r="C25" s="169" t="s">
        <v>392</v>
      </c>
      <c r="D25" s="160">
        <f>+D24/$J$24</f>
        <v>0.36760667165716571</v>
      </c>
      <c r="E25" s="160">
        <f t="shared" ref="E25:I25" si="2">+E24/$J$24</f>
        <v>1.3972780353984426E-2</v>
      </c>
      <c r="F25" s="160">
        <f t="shared" si="2"/>
        <v>0.28795563136974478</v>
      </c>
      <c r="G25" s="160">
        <f t="shared" si="2"/>
        <v>0.3227732870147168</v>
      </c>
      <c r="H25" s="160">
        <f t="shared" si="2"/>
        <v>0</v>
      </c>
      <c r="I25" s="160">
        <f t="shared" si="2"/>
        <v>7.691629604388326E-3</v>
      </c>
      <c r="J25" s="163">
        <f>SUM(D25:I25)</f>
        <v>1</v>
      </c>
    </row>
    <row r="29" spans="2:13" ht="39.75" customHeight="1" x14ac:dyDescent="0.25">
      <c r="B29" s="24"/>
      <c r="C29" s="241" t="s">
        <v>663</v>
      </c>
      <c r="D29" s="242"/>
      <c r="E29" s="242"/>
      <c r="F29" s="242"/>
      <c r="G29" s="242"/>
      <c r="H29" s="242"/>
      <c r="I29" s="242"/>
      <c r="J29" s="243"/>
    </row>
    <row r="30" spans="2:13" ht="18.75" x14ac:dyDescent="0.25">
      <c r="B30" s="24"/>
      <c r="C30" s="241" t="s">
        <v>662</v>
      </c>
      <c r="D30" s="242"/>
      <c r="E30" s="242"/>
      <c r="F30" s="242"/>
      <c r="G30" s="242"/>
      <c r="H30" s="242"/>
      <c r="I30" s="242"/>
      <c r="J30" s="243"/>
    </row>
    <row r="31" spans="2:13" x14ac:dyDescent="0.25">
      <c r="B31" s="24"/>
      <c r="C31" s="24"/>
      <c r="D31" s="244" t="s">
        <v>646</v>
      </c>
      <c r="E31" s="244"/>
      <c r="F31" s="244"/>
      <c r="G31" s="244"/>
      <c r="H31" s="244"/>
      <c r="I31" s="244"/>
      <c r="J31" s="164"/>
    </row>
    <row r="32" spans="2:13" ht="30" x14ac:dyDescent="0.25">
      <c r="B32" s="158"/>
      <c r="C32" s="158"/>
      <c r="D32" s="165" t="s">
        <v>649</v>
      </c>
      <c r="E32" s="166" t="s">
        <v>654</v>
      </c>
      <c r="F32" s="165" t="s">
        <v>650</v>
      </c>
      <c r="G32" s="167" t="s">
        <v>651</v>
      </c>
      <c r="H32" s="165" t="s">
        <v>652</v>
      </c>
      <c r="I32" s="166" t="s">
        <v>653</v>
      </c>
      <c r="J32" s="168" t="s">
        <v>647</v>
      </c>
      <c r="M32" s="203" t="s">
        <v>665</v>
      </c>
    </row>
    <row r="33" spans="2:29" x14ac:dyDescent="0.25">
      <c r="B33" s="168">
        <v>1</v>
      </c>
      <c r="C33" s="169" t="s">
        <v>220</v>
      </c>
      <c r="D33" s="32"/>
      <c r="E33" s="32"/>
      <c r="F33" s="157"/>
      <c r="G33" s="157">
        <f>'Montos x Coop x Eje'!F3</f>
        <v>1</v>
      </c>
      <c r="H33" s="32"/>
      <c r="I33" s="32"/>
      <c r="J33" s="160">
        <f>SUM(D33:I33)</f>
        <v>1</v>
      </c>
      <c r="L33">
        <v>1</v>
      </c>
      <c r="M33" s="207" t="s">
        <v>693</v>
      </c>
      <c r="N33" s="207"/>
      <c r="O33" s="207"/>
      <c r="P33" s="207"/>
      <c r="Q33" s="207"/>
      <c r="R33" s="207"/>
      <c r="S33" s="207"/>
      <c r="T33" s="207"/>
      <c r="U33" s="207"/>
      <c r="V33" s="207"/>
      <c r="W33" s="207"/>
      <c r="X33" s="207"/>
      <c r="Y33" s="207"/>
      <c r="Z33" s="207"/>
      <c r="AA33" s="207"/>
      <c r="AB33" s="207"/>
      <c r="AC33" s="207"/>
    </row>
    <row r="34" spans="2:29" x14ac:dyDescent="0.25">
      <c r="B34" s="168">
        <v>2</v>
      </c>
      <c r="C34" s="169" t="s">
        <v>22</v>
      </c>
      <c r="D34" s="157">
        <f>+'Montos x Coop x Eje'!F6</f>
        <v>1.8650389962699219E-2</v>
      </c>
      <c r="E34" s="32"/>
      <c r="F34" s="32"/>
      <c r="G34" s="157">
        <f>+'Montos x Coop x Eje'!F8</f>
        <v>0.98134961003730081</v>
      </c>
      <c r="H34" s="32"/>
      <c r="I34" s="32"/>
      <c r="J34" s="160">
        <f t="shared" ref="J34:J50" si="3">SUM(D34:I34)</f>
        <v>1</v>
      </c>
      <c r="L34">
        <v>2</v>
      </c>
      <c r="M34" s="207" t="s">
        <v>683</v>
      </c>
      <c r="N34" s="207"/>
      <c r="O34" s="207"/>
      <c r="P34" s="207"/>
      <c r="Q34" s="207"/>
      <c r="R34" s="207"/>
      <c r="S34" s="207"/>
      <c r="T34" s="207"/>
      <c r="U34" s="207"/>
      <c r="V34" s="207"/>
      <c r="W34" s="207"/>
      <c r="X34" s="207"/>
      <c r="Y34" s="207"/>
      <c r="Z34" s="207"/>
      <c r="AA34" s="207"/>
      <c r="AB34" s="207"/>
      <c r="AC34" s="207"/>
    </row>
    <row r="35" spans="2:29" x14ac:dyDescent="0.25">
      <c r="B35" s="168">
        <v>3</v>
      </c>
      <c r="C35" s="169" t="s">
        <v>447</v>
      </c>
      <c r="D35" s="157">
        <f>+'Montos x Coop x Eje'!F11</f>
        <v>0.1348529192348214</v>
      </c>
      <c r="E35" s="157">
        <f>+'Montos x Coop x Eje'!F14</f>
        <v>1.3443018281088778E-2</v>
      </c>
      <c r="F35" s="157">
        <f>+'Montos x Coop x Eje'!F17</f>
        <v>2.735104662850453E-2</v>
      </c>
      <c r="G35" s="157">
        <f>+'Montos x Coop x Eje'!F19</f>
        <v>0.81725205989594818</v>
      </c>
      <c r="H35" s="157">
        <f>'Montos x Coop x Eje'!F27</f>
        <v>7.6092556308049689E-2</v>
      </c>
      <c r="I35" s="32">
        <v>0</v>
      </c>
      <c r="J35" s="160">
        <f t="shared" si="3"/>
        <v>1.0689916003484126</v>
      </c>
      <c r="L35">
        <v>3</v>
      </c>
      <c r="M35" s="207" t="s">
        <v>672</v>
      </c>
    </row>
    <row r="36" spans="2:29" x14ac:dyDescent="0.25">
      <c r="B36" s="168">
        <v>4</v>
      </c>
      <c r="C36" s="169" t="s">
        <v>611</v>
      </c>
      <c r="D36" s="32"/>
      <c r="E36" s="32"/>
      <c r="F36" s="157"/>
      <c r="G36" s="157"/>
      <c r="H36" s="32"/>
      <c r="I36" s="32"/>
      <c r="J36" s="160">
        <f t="shared" si="3"/>
        <v>0</v>
      </c>
      <c r="L36">
        <v>4</v>
      </c>
      <c r="M36" s="207" t="s">
        <v>674</v>
      </c>
    </row>
    <row r="37" spans="2:29" x14ac:dyDescent="0.25">
      <c r="B37" s="168">
        <v>5</v>
      </c>
      <c r="C37" s="169" t="s">
        <v>612</v>
      </c>
      <c r="D37" s="157">
        <f>'Montos x Coop x Eje'!F33</f>
        <v>0.77500000000000002</v>
      </c>
      <c r="E37" s="157"/>
      <c r="F37" s="157">
        <f>'Montos x Coop x Eje'!F35</f>
        <v>0.22500000000000001</v>
      </c>
      <c r="G37" s="157"/>
      <c r="H37" s="32"/>
      <c r="I37" s="157"/>
      <c r="J37" s="160">
        <f t="shared" si="3"/>
        <v>1</v>
      </c>
      <c r="M37" s="207"/>
    </row>
    <row r="38" spans="2:29" x14ac:dyDescent="0.25">
      <c r="B38" s="168">
        <v>6</v>
      </c>
      <c r="C38" s="169" t="s">
        <v>609</v>
      </c>
      <c r="D38" s="32"/>
      <c r="E38" s="32"/>
      <c r="F38" s="32"/>
      <c r="G38" s="32"/>
      <c r="H38" s="32"/>
      <c r="I38" s="157">
        <f>'Montos x Coop x Eje'!F41</f>
        <v>1</v>
      </c>
      <c r="J38" s="160">
        <f t="shared" si="3"/>
        <v>1</v>
      </c>
    </row>
    <row r="39" spans="2:29" x14ac:dyDescent="0.25">
      <c r="B39" s="168">
        <v>7</v>
      </c>
      <c r="C39" s="169" t="s">
        <v>608</v>
      </c>
      <c r="D39" s="157">
        <f>'Montos x Coop x Eje'!F45</f>
        <v>1</v>
      </c>
      <c r="E39" s="32"/>
      <c r="F39" s="32"/>
      <c r="G39" s="32"/>
      <c r="H39" s="32"/>
      <c r="I39" s="32"/>
      <c r="J39" s="160">
        <f t="shared" si="3"/>
        <v>1</v>
      </c>
    </row>
    <row r="40" spans="2:29" x14ac:dyDescent="0.25">
      <c r="B40" s="168">
        <v>8</v>
      </c>
      <c r="C40" s="169" t="s">
        <v>303</v>
      </c>
      <c r="D40" s="32"/>
      <c r="E40" s="32"/>
      <c r="F40" s="32"/>
      <c r="G40" s="157">
        <f>+'Montos x Coop x Eje'!F48</f>
        <v>1</v>
      </c>
      <c r="H40" s="32"/>
      <c r="I40" s="32"/>
      <c r="J40" s="160">
        <f t="shared" si="3"/>
        <v>1</v>
      </c>
    </row>
    <row r="41" spans="2:29" x14ac:dyDescent="0.25">
      <c r="B41" s="168">
        <v>9</v>
      </c>
      <c r="C41" s="169" t="s">
        <v>297</v>
      </c>
      <c r="D41" s="32"/>
      <c r="E41" s="32"/>
      <c r="F41" s="32"/>
      <c r="G41" s="157">
        <f>'Montos x Coop x Eje'!F48</f>
        <v>1</v>
      </c>
      <c r="H41" s="32"/>
      <c r="I41" s="32"/>
      <c r="J41" s="160">
        <f t="shared" si="3"/>
        <v>1</v>
      </c>
    </row>
    <row r="42" spans="2:29" x14ac:dyDescent="0.25">
      <c r="B42" s="168">
        <v>10</v>
      </c>
      <c r="C42" s="169" t="s">
        <v>619</v>
      </c>
      <c r="D42" s="32"/>
      <c r="E42" s="32"/>
      <c r="F42" s="157"/>
      <c r="G42" s="32"/>
      <c r="H42" s="32"/>
      <c r="I42" s="32"/>
      <c r="J42" s="160">
        <f t="shared" si="3"/>
        <v>0</v>
      </c>
    </row>
    <row r="43" spans="2:29" x14ac:dyDescent="0.25">
      <c r="B43" s="168">
        <v>11</v>
      </c>
      <c r="C43" s="169" t="s">
        <v>410</v>
      </c>
      <c r="D43" s="157"/>
      <c r="E43" s="32"/>
      <c r="F43" s="32"/>
      <c r="G43" s="32"/>
      <c r="H43" s="32"/>
      <c r="I43" s="32"/>
      <c r="J43" s="160">
        <f t="shared" si="3"/>
        <v>0</v>
      </c>
    </row>
    <row r="44" spans="2:29" x14ac:dyDescent="0.25">
      <c r="B44" s="168">
        <v>12</v>
      </c>
      <c r="C44" s="169" t="s">
        <v>486</v>
      </c>
      <c r="D44" s="157"/>
      <c r="E44" s="32"/>
      <c r="F44" s="32"/>
      <c r="G44" s="157"/>
      <c r="H44" s="32"/>
      <c r="I44" s="32"/>
      <c r="J44" s="160">
        <f t="shared" si="3"/>
        <v>0</v>
      </c>
    </row>
    <row r="45" spans="2:29" x14ac:dyDescent="0.25">
      <c r="B45" s="168">
        <v>13</v>
      </c>
      <c r="C45" s="169" t="s">
        <v>620</v>
      </c>
      <c r="D45" s="32"/>
      <c r="E45" s="32"/>
      <c r="F45" s="157"/>
      <c r="G45" s="157"/>
      <c r="H45" s="32"/>
      <c r="I45" s="32"/>
      <c r="J45" s="160">
        <f t="shared" si="3"/>
        <v>0</v>
      </c>
    </row>
    <row r="46" spans="2:29" x14ac:dyDescent="0.25">
      <c r="B46" s="168">
        <v>14</v>
      </c>
      <c r="C46" s="169" t="s">
        <v>463</v>
      </c>
      <c r="D46" s="157"/>
      <c r="E46" s="32"/>
      <c r="F46" s="32"/>
      <c r="G46" s="32"/>
      <c r="H46" s="32"/>
      <c r="I46" s="32"/>
      <c r="J46" s="160">
        <f t="shared" si="3"/>
        <v>0</v>
      </c>
    </row>
    <row r="47" spans="2:29" x14ac:dyDescent="0.25">
      <c r="B47" s="168">
        <v>15</v>
      </c>
      <c r="C47" s="169" t="s">
        <v>621</v>
      </c>
      <c r="D47" s="32"/>
      <c r="E47" s="32"/>
      <c r="F47" s="157"/>
      <c r="G47" s="32"/>
      <c r="H47" s="32"/>
      <c r="I47" s="32"/>
      <c r="J47" s="160">
        <f t="shared" si="3"/>
        <v>0</v>
      </c>
    </row>
    <row r="48" spans="2:29" x14ac:dyDescent="0.25">
      <c r="B48" s="168">
        <v>16</v>
      </c>
      <c r="C48" s="169" t="s">
        <v>622</v>
      </c>
      <c r="D48" s="157"/>
      <c r="E48" s="32"/>
      <c r="F48" s="32"/>
      <c r="G48" s="32"/>
      <c r="H48" s="32"/>
      <c r="I48" s="157"/>
      <c r="J48" s="160">
        <f t="shared" si="3"/>
        <v>0</v>
      </c>
    </row>
    <row r="49" spans="2:10" x14ac:dyDescent="0.25">
      <c r="B49" s="168">
        <v>17</v>
      </c>
      <c r="C49" s="169" t="s">
        <v>391</v>
      </c>
      <c r="D49" s="157">
        <f>'Montos x Coop x Eje'!F58</f>
        <v>1</v>
      </c>
      <c r="E49" s="32"/>
      <c r="F49" s="157"/>
      <c r="G49" s="157"/>
      <c r="H49" s="32"/>
      <c r="I49" s="32"/>
      <c r="J49" s="160">
        <f t="shared" si="3"/>
        <v>1</v>
      </c>
    </row>
    <row r="50" spans="2:10" x14ac:dyDescent="0.25">
      <c r="B50" s="168">
        <v>18</v>
      </c>
      <c r="C50" s="169" t="s">
        <v>648</v>
      </c>
      <c r="D50" s="32"/>
      <c r="E50" s="32"/>
      <c r="F50" s="157">
        <f>'Montos x Coop x Eje'!F61</f>
        <v>1</v>
      </c>
      <c r="G50" s="32"/>
      <c r="H50" s="32"/>
      <c r="I50" s="32"/>
      <c r="J50" s="160">
        <f t="shared" si="3"/>
        <v>1</v>
      </c>
    </row>
    <row r="51" spans="2:10" x14ac:dyDescent="0.25">
      <c r="B51" s="170"/>
      <c r="C51" s="170"/>
      <c r="D51" s="161">
        <f>SUM(D33:D50)</f>
        <v>2.9285033091975206</v>
      </c>
      <c r="E51" s="161">
        <f t="shared" ref="E51:I51" si="4">SUM(E33:E50)</f>
        <v>1.3443018281088778E-2</v>
      </c>
      <c r="F51" s="161">
        <f t="shared" si="4"/>
        <v>1.2523510466285046</v>
      </c>
      <c r="G51" s="161">
        <f t="shared" si="4"/>
        <v>4.798601669933249</v>
      </c>
      <c r="H51" s="161">
        <f t="shared" si="4"/>
        <v>7.6092556308049689E-2</v>
      </c>
      <c r="I51" s="161">
        <f t="shared" si="4"/>
        <v>1</v>
      </c>
      <c r="J51" s="162">
        <f>SUM(D51:I51)</f>
        <v>10.068991600348413</v>
      </c>
    </row>
    <row r="52" spans="2:10" x14ac:dyDescent="0.25">
      <c r="B52" s="169"/>
      <c r="C52" s="169" t="s">
        <v>392</v>
      </c>
      <c r="D52" s="160">
        <f>+D51/$J$51</f>
        <v>0.29084375332046031</v>
      </c>
      <c r="E52" s="160">
        <f t="shared" ref="E52:I52" si="5">+E51/$J$51</f>
        <v>1.3350908228609124E-3</v>
      </c>
      <c r="F52" s="160">
        <f t="shared" si="5"/>
        <v>0.12437700778151112</v>
      </c>
      <c r="G52" s="160">
        <f t="shared" si="5"/>
        <v>0.47657221898637842</v>
      </c>
      <c r="H52" s="160">
        <f t="shared" si="5"/>
        <v>7.557117865250448E-3</v>
      </c>
      <c r="I52" s="160">
        <f t="shared" si="5"/>
        <v>9.9314811223538746E-2</v>
      </c>
      <c r="J52" s="163">
        <f>SUM(D52:I52)</f>
        <v>1</v>
      </c>
    </row>
  </sheetData>
  <mergeCells count="6">
    <mergeCell ref="D4:I4"/>
    <mergeCell ref="C2:J2"/>
    <mergeCell ref="C29:J29"/>
    <mergeCell ref="D31:I31"/>
    <mergeCell ref="C3:J3"/>
    <mergeCell ref="C30:J30"/>
  </mergeCells>
  <conditionalFormatting sqref="D6:I6">
    <cfRule type="colorScale" priority="35">
      <colorScale>
        <cfvo type="min"/>
        <cfvo type="percentile" val="50"/>
        <cfvo type="max"/>
        <color rgb="FFF8696B"/>
        <color rgb="FFFFEB84"/>
        <color rgb="FF63BE7B"/>
      </colorScale>
    </cfRule>
  </conditionalFormatting>
  <conditionalFormatting sqref="D7:I7">
    <cfRule type="colorScale" priority="34">
      <colorScale>
        <cfvo type="min"/>
        <cfvo type="percentile" val="50"/>
        <cfvo type="max"/>
        <color rgb="FFF8696B"/>
        <color rgb="FFFFEB84"/>
        <color rgb="FF63BE7B"/>
      </colorScale>
    </cfRule>
  </conditionalFormatting>
  <conditionalFormatting sqref="D8:I8">
    <cfRule type="colorScale" priority="33">
      <colorScale>
        <cfvo type="min"/>
        <cfvo type="percentile" val="50"/>
        <cfvo type="max"/>
        <color rgb="FFF8696B"/>
        <color rgb="FFFFEB84"/>
        <color rgb="FF63BE7B"/>
      </colorScale>
    </cfRule>
  </conditionalFormatting>
  <conditionalFormatting sqref="D9:I9">
    <cfRule type="colorScale" priority="32">
      <colorScale>
        <cfvo type="min"/>
        <cfvo type="percentile" val="50"/>
        <cfvo type="max"/>
        <color rgb="FFF8696B"/>
        <color rgb="FFFFEB84"/>
        <color rgb="FF63BE7B"/>
      </colorScale>
    </cfRule>
  </conditionalFormatting>
  <conditionalFormatting sqref="D10:I10">
    <cfRule type="colorScale" priority="31">
      <colorScale>
        <cfvo type="min"/>
        <cfvo type="percentile" val="50"/>
        <cfvo type="max"/>
        <color rgb="FFF8696B"/>
        <color rgb="FFFFEB84"/>
        <color rgb="FF63BE7B"/>
      </colorScale>
    </cfRule>
  </conditionalFormatting>
  <conditionalFormatting sqref="D12:I12">
    <cfRule type="colorScale" priority="30">
      <colorScale>
        <cfvo type="min"/>
        <cfvo type="percentile" val="50"/>
        <cfvo type="max"/>
        <color rgb="FFF8696B"/>
        <color rgb="FFFFEB84"/>
        <color rgb="FF63BE7B"/>
      </colorScale>
    </cfRule>
  </conditionalFormatting>
  <conditionalFormatting sqref="D15:I15">
    <cfRule type="colorScale" priority="29">
      <colorScale>
        <cfvo type="min"/>
        <cfvo type="percentile" val="50"/>
        <cfvo type="max"/>
        <color rgb="FFF8696B"/>
        <color rgb="FFFFEB84"/>
        <color rgb="FF63BE7B"/>
      </colorScale>
    </cfRule>
  </conditionalFormatting>
  <conditionalFormatting sqref="D16:I16">
    <cfRule type="colorScale" priority="28">
      <colorScale>
        <cfvo type="min"/>
        <cfvo type="percentile" val="50"/>
        <cfvo type="max"/>
        <color rgb="FFF8696B"/>
        <color rgb="FFFFEB84"/>
        <color rgb="FF63BE7B"/>
      </colorScale>
    </cfRule>
  </conditionalFormatting>
  <conditionalFormatting sqref="D17:I17">
    <cfRule type="colorScale" priority="27">
      <colorScale>
        <cfvo type="min"/>
        <cfvo type="percentile" val="50"/>
        <cfvo type="max"/>
        <color rgb="FFF8696B"/>
        <color rgb="FFFFEB84"/>
        <color rgb="FF63BE7B"/>
      </colorScale>
    </cfRule>
  </conditionalFormatting>
  <conditionalFormatting sqref="D18:I18">
    <cfRule type="colorScale" priority="26">
      <colorScale>
        <cfvo type="min"/>
        <cfvo type="percentile" val="50"/>
        <cfvo type="max"/>
        <color rgb="FFF8696B"/>
        <color rgb="FFFFEB84"/>
        <color rgb="FF63BE7B"/>
      </colorScale>
    </cfRule>
  </conditionalFormatting>
  <conditionalFormatting sqref="D19:I19">
    <cfRule type="colorScale" priority="25">
      <colorScale>
        <cfvo type="min"/>
        <cfvo type="percentile" val="50"/>
        <cfvo type="max"/>
        <color rgb="FFF8696B"/>
        <color rgb="FFFFEB84"/>
        <color rgb="FF63BE7B"/>
      </colorScale>
    </cfRule>
  </conditionalFormatting>
  <conditionalFormatting sqref="D20:I20">
    <cfRule type="colorScale" priority="24">
      <colorScale>
        <cfvo type="min"/>
        <cfvo type="percentile" val="50"/>
        <cfvo type="max"/>
        <color rgb="FFF8696B"/>
        <color rgb="FFFFEB84"/>
        <color rgb="FF63BE7B"/>
      </colorScale>
    </cfRule>
  </conditionalFormatting>
  <conditionalFormatting sqref="D21:I21">
    <cfRule type="colorScale" priority="23">
      <colorScale>
        <cfvo type="min"/>
        <cfvo type="percentile" val="50"/>
        <cfvo type="max"/>
        <color rgb="FFF8696B"/>
        <color rgb="FFFFEB84"/>
        <color rgb="FF63BE7B"/>
      </colorScale>
    </cfRule>
  </conditionalFormatting>
  <conditionalFormatting sqref="D22:I22">
    <cfRule type="colorScale" priority="22">
      <colorScale>
        <cfvo type="min"/>
        <cfvo type="percentile" val="50"/>
        <cfvo type="max"/>
        <color rgb="FFF8696B"/>
        <color rgb="FFFFEB84"/>
        <color rgb="FF63BE7B"/>
      </colorScale>
    </cfRule>
  </conditionalFormatting>
  <conditionalFormatting sqref="D25:I25">
    <cfRule type="colorScale" priority="21">
      <colorScale>
        <cfvo type="min"/>
        <cfvo type="percentile" val="50"/>
        <cfvo type="max"/>
        <color rgb="FFF8696B"/>
        <color rgb="FFFFEB84"/>
        <color rgb="FF63BE7B"/>
      </colorScale>
    </cfRule>
  </conditionalFormatting>
  <conditionalFormatting sqref="D33:I33">
    <cfRule type="colorScale" priority="20">
      <colorScale>
        <cfvo type="min"/>
        <cfvo type="percentile" val="50"/>
        <cfvo type="max"/>
        <color rgb="FFF8696B"/>
        <color rgb="FFFFEB84"/>
        <color rgb="FF63BE7B"/>
      </colorScale>
    </cfRule>
  </conditionalFormatting>
  <conditionalFormatting sqref="D34:I34">
    <cfRule type="colorScale" priority="19">
      <colorScale>
        <cfvo type="min"/>
        <cfvo type="percentile" val="50"/>
        <cfvo type="max"/>
        <color rgb="FFF8696B"/>
        <color rgb="FFFFEB84"/>
        <color rgb="FF63BE7B"/>
      </colorScale>
    </cfRule>
  </conditionalFormatting>
  <conditionalFormatting sqref="D35:I35">
    <cfRule type="colorScale" priority="18">
      <colorScale>
        <cfvo type="min"/>
        <cfvo type="percentile" val="50"/>
        <cfvo type="max"/>
        <color rgb="FFF8696B"/>
        <color rgb="FFFFEB84"/>
        <color rgb="FF63BE7B"/>
      </colorScale>
    </cfRule>
  </conditionalFormatting>
  <conditionalFormatting sqref="D36:I36">
    <cfRule type="colorScale" priority="17">
      <colorScale>
        <cfvo type="min"/>
        <cfvo type="percentile" val="50"/>
        <cfvo type="max"/>
        <color rgb="FFF8696B"/>
        <color rgb="FFFFEB84"/>
        <color rgb="FF63BE7B"/>
      </colorScale>
    </cfRule>
  </conditionalFormatting>
  <conditionalFormatting sqref="D37:I37">
    <cfRule type="colorScale" priority="16">
      <colorScale>
        <cfvo type="min"/>
        <cfvo type="percentile" val="50"/>
        <cfvo type="max"/>
        <color rgb="FFF8696B"/>
        <color rgb="FFFFEB84"/>
        <color rgb="FF63BE7B"/>
      </colorScale>
    </cfRule>
  </conditionalFormatting>
  <conditionalFormatting sqref="D39:I39">
    <cfRule type="colorScale" priority="15">
      <colorScale>
        <cfvo type="min"/>
        <cfvo type="percentile" val="50"/>
        <cfvo type="max"/>
        <color rgb="FFF8696B"/>
        <color rgb="FFFFEB84"/>
        <color rgb="FF63BE7B"/>
      </colorScale>
    </cfRule>
  </conditionalFormatting>
  <conditionalFormatting sqref="D42:I42">
    <cfRule type="colorScale" priority="14">
      <colorScale>
        <cfvo type="min"/>
        <cfvo type="percentile" val="50"/>
        <cfvo type="max"/>
        <color rgb="FFF8696B"/>
        <color rgb="FFFFEB84"/>
        <color rgb="FF63BE7B"/>
      </colorScale>
    </cfRule>
  </conditionalFormatting>
  <conditionalFormatting sqref="D43:I43">
    <cfRule type="colorScale" priority="13">
      <colorScale>
        <cfvo type="min"/>
        <cfvo type="percentile" val="50"/>
        <cfvo type="max"/>
        <color rgb="FFF8696B"/>
        <color rgb="FFFFEB84"/>
        <color rgb="FF63BE7B"/>
      </colorScale>
    </cfRule>
  </conditionalFormatting>
  <conditionalFormatting sqref="D44:I44">
    <cfRule type="colorScale" priority="12">
      <colorScale>
        <cfvo type="min"/>
        <cfvo type="percentile" val="50"/>
        <cfvo type="max"/>
        <color rgb="FFF8696B"/>
        <color rgb="FFFFEB84"/>
        <color rgb="FF63BE7B"/>
      </colorScale>
    </cfRule>
  </conditionalFormatting>
  <conditionalFormatting sqref="D45:I45">
    <cfRule type="colorScale" priority="11">
      <colorScale>
        <cfvo type="min"/>
        <cfvo type="percentile" val="50"/>
        <cfvo type="max"/>
        <color rgb="FFF8696B"/>
        <color rgb="FFFFEB84"/>
        <color rgb="FF63BE7B"/>
      </colorScale>
    </cfRule>
  </conditionalFormatting>
  <conditionalFormatting sqref="D46:I46">
    <cfRule type="colorScale" priority="10">
      <colorScale>
        <cfvo type="min"/>
        <cfvo type="percentile" val="50"/>
        <cfvo type="max"/>
        <color rgb="FFF8696B"/>
        <color rgb="FFFFEB84"/>
        <color rgb="FF63BE7B"/>
      </colorScale>
    </cfRule>
  </conditionalFormatting>
  <conditionalFormatting sqref="D47:I47">
    <cfRule type="colorScale" priority="9">
      <colorScale>
        <cfvo type="min"/>
        <cfvo type="percentile" val="50"/>
        <cfvo type="max"/>
        <color rgb="FFF8696B"/>
        <color rgb="FFFFEB84"/>
        <color rgb="FF63BE7B"/>
      </colorScale>
    </cfRule>
  </conditionalFormatting>
  <conditionalFormatting sqref="D48:I48">
    <cfRule type="colorScale" priority="8">
      <colorScale>
        <cfvo type="min"/>
        <cfvo type="percentile" val="50"/>
        <cfvo type="max"/>
        <color rgb="FFF8696B"/>
        <color rgb="FFFFEB84"/>
        <color rgb="FF63BE7B"/>
      </colorScale>
    </cfRule>
  </conditionalFormatting>
  <conditionalFormatting sqref="D49:I49">
    <cfRule type="colorScale" priority="7">
      <colorScale>
        <cfvo type="min"/>
        <cfvo type="percentile" val="50"/>
        <cfvo type="max"/>
        <color rgb="FFF8696B"/>
        <color rgb="FFFFEB84"/>
        <color rgb="FF63BE7B"/>
      </colorScale>
    </cfRule>
  </conditionalFormatting>
  <conditionalFormatting sqref="D52:I52">
    <cfRule type="colorScale" priority="6">
      <colorScale>
        <cfvo type="min"/>
        <cfvo type="percentile" val="50"/>
        <cfvo type="max"/>
        <color rgb="FFF8696B"/>
        <color rgb="FFFFEB84"/>
        <color rgb="FF63BE7B"/>
      </colorScale>
    </cfRule>
  </conditionalFormatting>
  <conditionalFormatting sqref="G40">
    <cfRule type="colorScale" priority="5">
      <colorScale>
        <cfvo type="min"/>
        <cfvo type="percentile" val="50"/>
        <cfvo type="max"/>
        <color rgb="FFF8696B"/>
        <color rgb="FFFFEB84"/>
        <color rgb="FF63BE7B"/>
      </colorScale>
    </cfRule>
  </conditionalFormatting>
  <conditionalFormatting sqref="D40:I40">
    <cfRule type="colorScale" priority="4">
      <colorScale>
        <cfvo type="min"/>
        <cfvo type="percentile" val="50"/>
        <cfvo type="max"/>
        <color rgb="FFF8696B"/>
        <color rgb="FFFFEB84"/>
        <color rgb="FF63BE7B"/>
      </colorScale>
    </cfRule>
  </conditionalFormatting>
  <conditionalFormatting sqref="D41:I41">
    <cfRule type="colorScale" priority="3">
      <colorScale>
        <cfvo type="min"/>
        <cfvo type="percentile" val="50"/>
        <cfvo type="max"/>
        <color rgb="FFF8696B"/>
        <color rgb="FFFFEB84"/>
        <color rgb="FF63BE7B"/>
      </colorScale>
    </cfRule>
  </conditionalFormatting>
  <conditionalFormatting sqref="D38:I38">
    <cfRule type="colorScale" priority="2">
      <colorScale>
        <cfvo type="min"/>
        <cfvo type="percentile" val="50"/>
        <cfvo type="max"/>
        <color rgb="FFF8696B"/>
        <color rgb="FFFFEB84"/>
        <color rgb="FF63BE7B"/>
      </colorScale>
    </cfRule>
  </conditionalFormatting>
  <conditionalFormatting sqref="D50:I50">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0"/>
  <sheetViews>
    <sheetView workbookViewId="0"/>
  </sheetViews>
  <sheetFormatPr defaultRowHeight="15" x14ac:dyDescent="0.25"/>
  <cols>
    <col min="1" max="1" width="24.5703125" style="130" customWidth="1"/>
    <col min="2" max="2" width="16.28515625" bestFit="1" customWidth="1"/>
    <col min="4" max="4" width="8" customWidth="1"/>
    <col min="5" max="5" width="24.5703125" style="130" customWidth="1"/>
    <col min="6" max="6" width="17.7109375" customWidth="1"/>
    <col min="7" max="7" width="6" customWidth="1"/>
    <col min="8" max="10" width="9" customWidth="1"/>
    <col min="11" max="13" width="6" customWidth="1"/>
    <col min="14" max="14" width="9" customWidth="1"/>
    <col min="15" max="18" width="6" customWidth="1"/>
    <col min="19" max="19" width="9" customWidth="1"/>
    <col min="20" max="21" width="6" customWidth="1"/>
    <col min="22" max="22" width="9" customWidth="1"/>
    <col min="23" max="24" width="6" customWidth="1"/>
    <col min="25" max="25" width="8" customWidth="1"/>
    <col min="26" max="31" width="6" customWidth="1"/>
    <col min="32" max="32" width="8" customWidth="1"/>
    <col min="33" max="33" width="6" customWidth="1"/>
    <col min="34" max="34" width="9" customWidth="1"/>
    <col min="35" max="35" width="6" customWidth="1"/>
    <col min="36" max="37" width="9" customWidth="1"/>
    <col min="38" max="38" width="6" customWidth="1"/>
    <col min="39" max="40" width="9" customWidth="1"/>
    <col min="41" max="42" width="6" customWidth="1"/>
    <col min="43" max="43" width="9" customWidth="1"/>
    <col min="44" max="57" width="6" customWidth="1"/>
    <col min="58" max="62" width="7" customWidth="1"/>
    <col min="63" max="63" width="10" customWidth="1"/>
    <col min="64" max="107" width="7" customWidth="1"/>
    <col min="108" max="108" width="10" customWidth="1"/>
    <col min="109" max="111" width="7" customWidth="1"/>
    <col min="112" max="112" width="11" customWidth="1"/>
    <col min="113" max="114" width="8" customWidth="1"/>
    <col min="115" max="115" width="11" customWidth="1"/>
    <col min="116" max="116" width="8" customWidth="1"/>
    <col min="117" max="117" width="11" customWidth="1"/>
    <col min="118" max="118" width="8" customWidth="1"/>
    <col min="119" max="119" width="11" customWidth="1"/>
    <col min="120" max="121" width="8" customWidth="1"/>
    <col min="122" max="123" width="11" customWidth="1"/>
    <col min="124" max="124" width="12" bestFit="1" customWidth="1"/>
    <col min="125" max="128" width="8" customWidth="1"/>
    <col min="129" max="129" width="11" customWidth="1"/>
    <col min="130" max="130" width="8" customWidth="1"/>
    <col min="131" max="131" width="11" customWidth="1"/>
    <col min="132" max="132" width="8" customWidth="1"/>
    <col min="133" max="133" width="11" customWidth="1"/>
    <col min="134" max="134" width="8" customWidth="1"/>
    <col min="135" max="136" width="11" customWidth="1"/>
    <col min="137" max="138" width="8" customWidth="1"/>
    <col min="139" max="139" width="11" customWidth="1"/>
    <col min="140" max="140" width="8" customWidth="1"/>
    <col min="141" max="155" width="9" customWidth="1"/>
    <col min="156" max="158" width="10" customWidth="1"/>
    <col min="159" max="159" width="1.7109375" customWidth="1"/>
    <col min="160" max="160" width="9.5703125" customWidth="1"/>
    <col min="161" max="161" width="17.42578125" bestFit="1" customWidth="1"/>
    <col min="162" max="162" width="7.28515625" customWidth="1"/>
    <col min="163" max="163" width="11.28515625" bestFit="1" customWidth="1"/>
    <col min="164" max="168" width="10" bestFit="1" customWidth="1"/>
    <col min="169" max="169" width="6.85546875" customWidth="1"/>
    <col min="171" max="171" width="12.140625" bestFit="1" customWidth="1"/>
    <col min="172" max="172" width="11.28515625" bestFit="1" customWidth="1"/>
  </cols>
  <sheetData>
    <row r="1" spans="1:6" x14ac:dyDescent="0.25">
      <c r="A1" s="127" t="s">
        <v>632</v>
      </c>
      <c r="E1" s="127" t="s">
        <v>644</v>
      </c>
    </row>
    <row r="2" spans="1:6" ht="14.45" x14ac:dyDescent="0.3">
      <c r="A2" s="146" t="s">
        <v>220</v>
      </c>
      <c r="B2" s="147">
        <f>+A4+A6</f>
        <v>26018302</v>
      </c>
      <c r="E2" s="146" t="s">
        <v>220</v>
      </c>
      <c r="F2" s="155">
        <f>+E4</f>
        <v>12644878</v>
      </c>
    </row>
    <row r="3" spans="1:6" ht="14.45" x14ac:dyDescent="0.3">
      <c r="A3" s="129" t="s">
        <v>638</v>
      </c>
      <c r="B3" s="149">
        <f>+A4/B2</f>
        <v>0.42502012621730656</v>
      </c>
      <c r="E3" s="129" t="s">
        <v>639</v>
      </c>
      <c r="F3" s="151">
        <f>+E4/F2</f>
        <v>1</v>
      </c>
    </row>
    <row r="4" spans="1:6" ht="14.45" x14ac:dyDescent="0.3">
      <c r="A4" s="143">
        <v>11058302</v>
      </c>
      <c r="B4" s="150"/>
      <c r="E4" s="144">
        <v>12644878</v>
      </c>
      <c r="F4" s="151"/>
    </row>
    <row r="5" spans="1:6" ht="14.45" x14ac:dyDescent="0.3">
      <c r="A5" s="129" t="s">
        <v>639</v>
      </c>
      <c r="B5" s="149">
        <f>+A6/B2</f>
        <v>0.57497987378269344</v>
      </c>
      <c r="E5" s="146" t="s">
        <v>22</v>
      </c>
      <c r="F5" s="155">
        <f>+E7+E9</f>
        <v>147450000</v>
      </c>
    </row>
    <row r="6" spans="1:6" ht="14.45" x14ac:dyDescent="0.3">
      <c r="A6" s="143">
        <v>14960000</v>
      </c>
      <c r="E6" s="129" t="s">
        <v>636</v>
      </c>
      <c r="F6" s="149">
        <f>+E7/F5</f>
        <v>1.8650389962699219E-2</v>
      </c>
    </row>
    <row r="7" spans="1:6" ht="14.45" x14ac:dyDescent="0.3">
      <c r="A7" s="146" t="s">
        <v>22</v>
      </c>
      <c r="B7" s="147">
        <f>+A9+A10+A11+A12+A13+A14+A15+A16+A19+A22+A23+A24</f>
        <v>160461599</v>
      </c>
      <c r="E7" s="144">
        <v>2750000</v>
      </c>
      <c r="F7" s="149"/>
    </row>
    <row r="8" spans="1:6" ht="14.45" x14ac:dyDescent="0.3">
      <c r="A8" s="129" t="s">
        <v>636</v>
      </c>
      <c r="B8" s="149">
        <f>(+SUM(A9:A16)+(A22+A23+A24))/B7</f>
        <v>0.42565697603449659</v>
      </c>
      <c r="E8" s="129" t="s">
        <v>639</v>
      </c>
      <c r="F8" s="149">
        <f>+E9/F5</f>
        <v>0.98134961003730081</v>
      </c>
    </row>
    <row r="9" spans="1:6" ht="14.45" x14ac:dyDescent="0.3">
      <c r="A9" s="143">
        <v>11980</v>
      </c>
      <c r="B9" s="150"/>
      <c r="E9" s="144">
        <v>144700000</v>
      </c>
      <c r="F9" s="145"/>
    </row>
    <row r="10" spans="1:6" ht="14.45" x14ac:dyDescent="0.3">
      <c r="A10" s="143">
        <v>23960</v>
      </c>
      <c r="B10" s="150"/>
      <c r="E10" s="146" t="s">
        <v>481</v>
      </c>
      <c r="F10" s="155">
        <f>E12+E13+E15+E17+E19+E20+E21+E22+E23+E24+E25+E26</f>
        <v>236554018.86000001</v>
      </c>
    </row>
    <row r="11" spans="1:6" ht="14.45" x14ac:dyDescent="0.3">
      <c r="A11" s="143">
        <v>303898</v>
      </c>
      <c r="B11" s="150"/>
      <c r="E11" s="129" t="s">
        <v>636</v>
      </c>
      <c r="F11" s="149">
        <f>(E12+E13)/F10</f>
        <v>0.1348529192348214</v>
      </c>
    </row>
    <row r="12" spans="1:6" ht="14.45" x14ac:dyDescent="0.3">
      <c r="A12" s="143">
        <v>750000</v>
      </c>
      <c r="B12" s="150"/>
      <c r="E12" s="144">
        <v>1900000</v>
      </c>
      <c r="F12" s="149"/>
    </row>
    <row r="13" spans="1:6" ht="14.45" x14ac:dyDescent="0.3">
      <c r="A13" s="143">
        <v>1233630</v>
      </c>
      <c r="B13" s="150"/>
      <c r="E13" s="144">
        <v>30000000</v>
      </c>
      <c r="F13" s="149"/>
    </row>
    <row r="14" spans="1:6" ht="14.45" x14ac:dyDescent="0.3">
      <c r="A14" s="143">
        <v>1500000</v>
      </c>
      <c r="B14" s="150"/>
      <c r="E14" s="129" t="s">
        <v>637</v>
      </c>
      <c r="F14" s="149">
        <f>E15/F10</f>
        <v>1.3443018281088778E-2</v>
      </c>
    </row>
    <row r="15" spans="1:6" ht="14.45" x14ac:dyDescent="0.3">
      <c r="A15" s="143">
        <v>1599321</v>
      </c>
      <c r="B15" s="150"/>
      <c r="E15" s="144">
        <v>3180000</v>
      </c>
      <c r="F15" s="149"/>
    </row>
    <row r="16" spans="1:6" ht="14.45" x14ac:dyDescent="0.3">
      <c r="A16" s="143">
        <v>60000000</v>
      </c>
      <c r="B16" s="150"/>
      <c r="E16" s="129" t="s">
        <v>638</v>
      </c>
      <c r="F16" s="149"/>
    </row>
    <row r="17" spans="1:6" ht="14.45" x14ac:dyDescent="0.3">
      <c r="A17" s="143" t="s">
        <v>630</v>
      </c>
      <c r="B17" s="150"/>
      <c r="E17" s="144">
        <v>6470000</v>
      </c>
      <c r="F17" s="149">
        <f>E17/F10</f>
        <v>2.735104662850453E-2</v>
      </c>
    </row>
    <row r="18" spans="1:6" ht="14.45" x14ac:dyDescent="0.3">
      <c r="A18" s="129" t="s">
        <v>639</v>
      </c>
      <c r="B18" s="149">
        <f>+A19/B7</f>
        <v>0.57434302396550341</v>
      </c>
      <c r="E18" s="129" t="s">
        <v>639</v>
      </c>
      <c r="F18" s="149"/>
    </row>
    <row r="19" spans="1:6" ht="14.45" x14ac:dyDescent="0.3">
      <c r="A19" s="143">
        <v>92160000</v>
      </c>
      <c r="B19" s="150"/>
      <c r="E19" s="144">
        <v>1679759.67</v>
      </c>
      <c r="F19" s="149">
        <f>(E20+E21+E22+E23+E24+E25+E26)/F10</f>
        <v>0.81725205989594818</v>
      </c>
    </row>
    <row r="20" spans="1:6" ht="14.45" x14ac:dyDescent="0.3">
      <c r="A20" s="128" t="s">
        <v>63</v>
      </c>
      <c r="B20" s="150"/>
      <c r="E20" s="144">
        <v>2130352.36</v>
      </c>
      <c r="F20" s="149"/>
    </row>
    <row r="21" spans="1:6" ht="14.45" x14ac:dyDescent="0.3">
      <c r="A21" s="129" t="s">
        <v>636</v>
      </c>
      <c r="E21" s="144">
        <v>3850000</v>
      </c>
      <c r="F21" s="149"/>
    </row>
    <row r="22" spans="1:6" ht="14.45" x14ac:dyDescent="0.3">
      <c r="A22" s="143">
        <v>148115</v>
      </c>
      <c r="E22" s="144">
        <v>4221436.83</v>
      </c>
      <c r="F22" s="149"/>
    </row>
    <row r="23" spans="1:6" ht="14.45" x14ac:dyDescent="0.3">
      <c r="A23" s="143">
        <v>524295</v>
      </c>
      <c r="E23" s="144">
        <v>4500000</v>
      </c>
      <c r="F23" s="149"/>
    </row>
    <row r="24" spans="1:6" ht="14.45" x14ac:dyDescent="0.3">
      <c r="A24" s="143">
        <v>2206400</v>
      </c>
      <c r="E24" s="144">
        <v>11620000</v>
      </c>
      <c r="F24" s="149"/>
    </row>
    <row r="25" spans="1:6" ht="14.45" x14ac:dyDescent="0.3">
      <c r="A25" s="146" t="s">
        <v>481</v>
      </c>
      <c r="B25" s="147">
        <f>+A27+A30+A31+A34</f>
        <v>27772857.219999999</v>
      </c>
      <c r="E25" s="144">
        <v>12002470</v>
      </c>
      <c r="F25" s="149"/>
    </row>
    <row r="26" spans="1:6" x14ac:dyDescent="0.25">
      <c r="A26" s="129" t="s">
        <v>636</v>
      </c>
      <c r="B26" s="149">
        <f>+A27/B25</f>
        <v>1.1522041015267208E-2</v>
      </c>
      <c r="E26" s="144">
        <v>155000000</v>
      </c>
      <c r="F26" s="149"/>
    </row>
    <row r="27" spans="1:6" x14ac:dyDescent="0.25">
      <c r="A27" s="143">
        <v>320000</v>
      </c>
      <c r="B27" s="149"/>
      <c r="E27" s="129" t="s">
        <v>640</v>
      </c>
      <c r="F27" s="149">
        <f>E28/F10</f>
        <v>7.6092556308049689E-2</v>
      </c>
    </row>
    <row r="28" spans="1:6" x14ac:dyDescent="0.25">
      <c r="A28" s="128" t="s">
        <v>569</v>
      </c>
      <c r="B28" s="149"/>
      <c r="E28" s="144">
        <v>18000000</v>
      </c>
      <c r="F28" s="145"/>
    </row>
    <row r="29" spans="1:6" x14ac:dyDescent="0.25">
      <c r="A29" s="129" t="s">
        <v>639</v>
      </c>
      <c r="B29" s="149">
        <f>+(A30+A31)/B25</f>
        <v>0.2683503955305323</v>
      </c>
      <c r="E29" s="128" t="s">
        <v>292</v>
      </c>
      <c r="F29" s="145"/>
    </row>
    <row r="30" spans="1:6" x14ac:dyDescent="0.25">
      <c r="A30" s="143">
        <v>608796.63</v>
      </c>
      <c r="B30" s="149"/>
      <c r="E30" s="129" t="s">
        <v>639</v>
      </c>
      <c r="F30" s="145"/>
    </row>
    <row r="31" spans="1:6" x14ac:dyDescent="0.25">
      <c r="A31" s="143">
        <v>6844060.5899999999</v>
      </c>
      <c r="B31" s="149"/>
      <c r="E31" s="144">
        <v>2222500</v>
      </c>
      <c r="F31" s="145"/>
    </row>
    <row r="32" spans="1:6" x14ac:dyDescent="0.25">
      <c r="A32" s="128" t="s">
        <v>610</v>
      </c>
      <c r="B32" s="149"/>
      <c r="E32" s="146" t="s">
        <v>508</v>
      </c>
      <c r="F32" s="155">
        <f>+E34+E36+E39</f>
        <v>26000000</v>
      </c>
    </row>
    <row r="33" spans="1:6" x14ac:dyDescent="0.25">
      <c r="A33" s="129" t="s">
        <v>638</v>
      </c>
      <c r="B33" s="149">
        <f>+A34/B25</f>
        <v>0.72012756345420048</v>
      </c>
      <c r="E33" s="129" t="s">
        <v>636</v>
      </c>
      <c r="F33" s="149">
        <f>+(E34+E39)/F32</f>
        <v>0.77500000000000002</v>
      </c>
    </row>
    <row r="34" spans="1:6" x14ac:dyDescent="0.25">
      <c r="A34" s="143">
        <v>20000000</v>
      </c>
      <c r="B34" s="149"/>
      <c r="E34" s="144">
        <v>7150000</v>
      </c>
      <c r="F34" s="149"/>
    </row>
    <row r="35" spans="1:6" x14ac:dyDescent="0.25">
      <c r="A35" s="146" t="s">
        <v>552</v>
      </c>
      <c r="B35" s="147">
        <f>+A37+A38+A40</f>
        <v>98600000</v>
      </c>
      <c r="E35" s="129" t="s">
        <v>638</v>
      </c>
      <c r="F35" s="149">
        <f>E36/F32</f>
        <v>0.22500000000000001</v>
      </c>
    </row>
    <row r="36" spans="1:6" x14ac:dyDescent="0.25">
      <c r="A36" s="129" t="s">
        <v>638</v>
      </c>
      <c r="B36" s="151">
        <f>+(A37+A38)/B35</f>
        <v>0.13793103448275862</v>
      </c>
      <c r="E36" s="144">
        <v>5850000</v>
      </c>
      <c r="F36" s="149"/>
    </row>
    <row r="37" spans="1:6" x14ac:dyDescent="0.25">
      <c r="A37" s="143">
        <v>200000</v>
      </c>
      <c r="B37" s="152"/>
      <c r="E37" s="128" t="s">
        <v>514</v>
      </c>
      <c r="F37" s="149"/>
    </row>
    <row r="38" spans="1:6" x14ac:dyDescent="0.25">
      <c r="A38" s="143">
        <v>13400000</v>
      </c>
      <c r="B38" s="152"/>
      <c r="E38" s="129" t="s">
        <v>636</v>
      </c>
      <c r="F38" s="149"/>
    </row>
    <row r="39" spans="1:6" x14ac:dyDescent="0.25">
      <c r="A39" s="129" t="s">
        <v>639</v>
      </c>
      <c r="B39" s="151">
        <f>+A40/B35</f>
        <v>0.86206896551724133</v>
      </c>
      <c r="E39" s="144">
        <v>13000000</v>
      </c>
      <c r="F39" s="149"/>
    </row>
    <row r="40" spans="1:6" x14ac:dyDescent="0.25">
      <c r="A40" s="143">
        <v>85000000</v>
      </c>
      <c r="B40" s="152"/>
      <c r="E40" s="146" t="s">
        <v>365</v>
      </c>
      <c r="F40" s="155">
        <f>E42</f>
        <v>15000000</v>
      </c>
    </row>
    <row r="41" spans="1:6" x14ac:dyDescent="0.25">
      <c r="A41" s="146" t="s">
        <v>541</v>
      </c>
      <c r="B41" s="154">
        <f>+A43+A46+A48+A49+A51+A54+A55+A58</f>
        <v>93114666.666666672</v>
      </c>
      <c r="E41" s="129" t="s">
        <v>641</v>
      </c>
      <c r="F41" s="149">
        <f>E42/F40</f>
        <v>1</v>
      </c>
    </row>
    <row r="42" spans="1:6" x14ac:dyDescent="0.25">
      <c r="A42" s="129" t="s">
        <v>638</v>
      </c>
      <c r="B42" s="151">
        <f>+(A43+A48+A49+A58)/B41</f>
        <v>0.52531645569620256</v>
      </c>
      <c r="E42" s="144">
        <v>15000000</v>
      </c>
      <c r="F42" s="145"/>
    </row>
    <row r="43" spans="1:6" x14ac:dyDescent="0.25">
      <c r="A43" s="143">
        <v>2504666.6666666665</v>
      </c>
      <c r="B43" s="151"/>
      <c r="E43" s="146" t="s">
        <v>608</v>
      </c>
      <c r="F43" s="155">
        <f>E45+E46</f>
        <v>1770990</v>
      </c>
    </row>
    <row r="44" spans="1:6" x14ac:dyDescent="0.25">
      <c r="A44" s="128" t="s">
        <v>508</v>
      </c>
      <c r="B44" s="151"/>
      <c r="E44" s="129" t="s">
        <v>636</v>
      </c>
      <c r="F44" s="145"/>
    </row>
    <row r="45" spans="1:6" x14ac:dyDescent="0.25">
      <c r="A45" s="129" t="s">
        <v>637</v>
      </c>
      <c r="B45" s="151">
        <f>+A46/B41</f>
        <v>0.19545793000744602</v>
      </c>
      <c r="E45" s="144">
        <v>737490</v>
      </c>
      <c r="F45" s="149">
        <f>+(E45+E46)/F43</f>
        <v>1</v>
      </c>
    </row>
    <row r="46" spans="1:6" x14ac:dyDescent="0.25">
      <c r="A46" s="143">
        <v>18200000</v>
      </c>
      <c r="B46" s="151"/>
      <c r="E46" s="144">
        <v>1033500</v>
      </c>
      <c r="F46" s="145"/>
    </row>
    <row r="47" spans="1:6" x14ac:dyDescent="0.25">
      <c r="A47" s="129" t="s">
        <v>638</v>
      </c>
      <c r="B47" s="151"/>
      <c r="E47" s="146" t="s">
        <v>303</v>
      </c>
      <c r="F47" s="155">
        <f>+E49+E50+E51+E52</f>
        <v>173330000</v>
      </c>
    </row>
    <row r="48" spans="1:6" x14ac:dyDescent="0.25">
      <c r="A48" s="143">
        <v>19500000</v>
      </c>
      <c r="B48" s="151"/>
      <c r="E48" s="129" t="s">
        <v>639</v>
      </c>
      <c r="F48" s="149">
        <f>(E49+E50+E51+E52)/F47</f>
        <v>1</v>
      </c>
    </row>
    <row r="49" spans="1:6" x14ac:dyDescent="0.25">
      <c r="A49" s="143">
        <v>25350000</v>
      </c>
      <c r="B49" s="151"/>
      <c r="E49" s="144">
        <v>8760000</v>
      </c>
      <c r="F49" s="145"/>
    </row>
    <row r="50" spans="1:6" x14ac:dyDescent="0.25">
      <c r="A50" s="129" t="s">
        <v>641</v>
      </c>
      <c r="B50" s="151">
        <f>A51/B41</f>
        <v>7.6787043931496643E-2</v>
      </c>
      <c r="E50" s="144">
        <v>16130000</v>
      </c>
      <c r="F50" s="145"/>
    </row>
    <row r="51" spans="1:6" x14ac:dyDescent="0.25">
      <c r="A51" s="143">
        <v>7150000</v>
      </c>
      <c r="B51" s="151"/>
      <c r="E51" s="144">
        <v>45730000</v>
      </c>
      <c r="F51" s="145"/>
    </row>
    <row r="52" spans="1:6" x14ac:dyDescent="0.25">
      <c r="A52" s="128" t="s">
        <v>499</v>
      </c>
      <c r="B52" s="151"/>
      <c r="E52" s="144">
        <v>102710000</v>
      </c>
      <c r="F52" s="145"/>
    </row>
    <row r="53" spans="1:6" x14ac:dyDescent="0.25">
      <c r="A53" s="129" t="s">
        <v>639</v>
      </c>
      <c r="B53" s="151">
        <f>(A54+A55)/B41</f>
        <v>0.2024385703648548</v>
      </c>
      <c r="E53" s="146" t="s">
        <v>297</v>
      </c>
      <c r="F53" s="155">
        <f>E55</f>
        <v>13000000</v>
      </c>
    </row>
    <row r="54" spans="1:6" x14ac:dyDescent="0.25">
      <c r="A54" s="143">
        <v>5850000</v>
      </c>
      <c r="B54" s="151"/>
      <c r="E54" s="129" t="s">
        <v>639</v>
      </c>
      <c r="F54" s="145"/>
    </row>
    <row r="55" spans="1:6" x14ac:dyDescent="0.25">
      <c r="A55" s="143">
        <v>13000000</v>
      </c>
      <c r="B55" s="151"/>
      <c r="E55" s="144">
        <v>13000000</v>
      </c>
      <c r="F55" s="149">
        <f>+E55/F53</f>
        <v>1</v>
      </c>
    </row>
    <row r="56" spans="1:6" x14ac:dyDescent="0.25">
      <c r="A56" s="128" t="s">
        <v>514</v>
      </c>
      <c r="B56" s="151"/>
      <c r="E56" s="146" t="s">
        <v>391</v>
      </c>
      <c r="F56" s="155">
        <f>E58</f>
        <v>9000000</v>
      </c>
    </row>
    <row r="57" spans="1:6" x14ac:dyDescent="0.25">
      <c r="A57" s="129" t="s">
        <v>638</v>
      </c>
      <c r="B57" s="151"/>
      <c r="E57" s="129" t="s">
        <v>636</v>
      </c>
      <c r="F57" s="145"/>
    </row>
    <row r="58" spans="1:6" x14ac:dyDescent="0.25">
      <c r="A58" s="143">
        <v>1560000</v>
      </c>
      <c r="B58" s="151"/>
      <c r="E58" s="144">
        <v>9000000</v>
      </c>
      <c r="F58" s="149">
        <f>+E58/F56</f>
        <v>1</v>
      </c>
    </row>
    <row r="59" spans="1:6" x14ac:dyDescent="0.25">
      <c r="A59" s="146" t="s">
        <v>608</v>
      </c>
      <c r="B59" s="154">
        <f>A61+A63+A62</f>
        <v>3384598</v>
      </c>
      <c r="E59" s="146" t="s">
        <v>645</v>
      </c>
      <c r="F59" s="155">
        <f>E61</f>
        <v>180000000</v>
      </c>
    </row>
    <row r="60" spans="1:6" x14ac:dyDescent="0.25">
      <c r="A60" s="129" t="s">
        <v>636</v>
      </c>
      <c r="B60" s="151">
        <f>+(A61+A62+A63)/B59</f>
        <v>1</v>
      </c>
      <c r="E60" s="129" t="s">
        <v>638</v>
      </c>
      <c r="F60" s="145"/>
    </row>
    <row r="61" spans="1:6" x14ac:dyDescent="0.25">
      <c r="A61" s="143">
        <v>127650</v>
      </c>
      <c r="B61" s="151"/>
      <c r="E61" s="144">
        <v>180000000</v>
      </c>
      <c r="F61" s="149">
        <f>E61/F59</f>
        <v>1</v>
      </c>
    </row>
    <row r="62" spans="1:6" x14ac:dyDescent="0.25">
      <c r="A62" s="143">
        <v>588460</v>
      </c>
      <c r="B62" s="151"/>
      <c r="E62" s="146" t="s">
        <v>630</v>
      </c>
      <c r="F62" s="156"/>
    </row>
    <row r="63" spans="1:6" x14ac:dyDescent="0.25">
      <c r="A63" s="143">
        <v>2668488</v>
      </c>
      <c r="B63" s="151"/>
      <c r="E63" s="129" t="s">
        <v>636</v>
      </c>
      <c r="F63" s="145"/>
    </row>
    <row r="64" spans="1:6" x14ac:dyDescent="0.25">
      <c r="A64" s="143" t="s">
        <v>630</v>
      </c>
      <c r="B64" s="151"/>
      <c r="E64" s="144" t="s">
        <v>630</v>
      </c>
      <c r="F64" s="145"/>
    </row>
    <row r="65" spans="1:6" x14ac:dyDescent="0.25">
      <c r="A65" s="129" t="s">
        <v>637</v>
      </c>
      <c r="B65" s="151"/>
      <c r="E65" s="129" t="s">
        <v>637</v>
      </c>
      <c r="F65" s="145"/>
    </row>
    <row r="66" spans="1:6" x14ac:dyDescent="0.25">
      <c r="A66" s="143" t="s">
        <v>630</v>
      </c>
      <c r="B66" s="151"/>
      <c r="E66" s="143" t="s">
        <v>630</v>
      </c>
      <c r="F66" s="145"/>
    </row>
    <row r="67" spans="1:6" x14ac:dyDescent="0.25">
      <c r="A67" s="128" t="s">
        <v>78</v>
      </c>
      <c r="B67" s="151"/>
      <c r="E67" s="129" t="s">
        <v>638</v>
      </c>
      <c r="F67" s="145"/>
    </row>
    <row r="68" spans="1:6" x14ac:dyDescent="0.25">
      <c r="A68" s="129" t="s">
        <v>636</v>
      </c>
      <c r="B68" s="151"/>
      <c r="E68" s="143" t="s">
        <v>630</v>
      </c>
      <c r="F68" s="145"/>
    </row>
    <row r="69" spans="1:6" x14ac:dyDescent="0.25">
      <c r="A69" s="143">
        <v>1563541.46</v>
      </c>
      <c r="B69" s="151"/>
      <c r="E69" s="129" t="s">
        <v>639</v>
      </c>
      <c r="F69" s="145"/>
    </row>
    <row r="70" spans="1:6" x14ac:dyDescent="0.25">
      <c r="A70" s="128" t="s">
        <v>382</v>
      </c>
      <c r="B70" s="151"/>
      <c r="E70" s="143" t="s">
        <v>630</v>
      </c>
      <c r="F70" s="145"/>
    </row>
    <row r="71" spans="1:6" x14ac:dyDescent="0.25">
      <c r="A71" s="129" t="s">
        <v>641</v>
      </c>
      <c r="B71" s="151"/>
      <c r="E71" s="129" t="s">
        <v>640</v>
      </c>
      <c r="F71" s="145"/>
    </row>
    <row r="72" spans="1:6" x14ac:dyDescent="0.25">
      <c r="A72" s="143">
        <v>218209.51</v>
      </c>
      <c r="B72" s="151"/>
      <c r="E72" s="143" t="s">
        <v>630</v>
      </c>
      <c r="F72" s="145"/>
    </row>
    <row r="73" spans="1:6" x14ac:dyDescent="0.25">
      <c r="A73" s="128" t="s">
        <v>281</v>
      </c>
      <c r="B73" s="151"/>
      <c r="E73" s="129" t="s">
        <v>641</v>
      </c>
      <c r="F73" s="145"/>
    </row>
    <row r="74" spans="1:6" x14ac:dyDescent="0.25">
      <c r="A74" s="129" t="s">
        <v>636</v>
      </c>
      <c r="B74" s="151"/>
      <c r="E74" s="143" t="s">
        <v>630</v>
      </c>
      <c r="F74" s="145"/>
    </row>
    <row r="75" spans="1:6" x14ac:dyDescent="0.25">
      <c r="A75" s="143">
        <v>1534.78</v>
      </c>
      <c r="B75" s="151"/>
      <c r="E75" s="129" t="s">
        <v>630</v>
      </c>
      <c r="F75" s="145"/>
    </row>
    <row r="76" spans="1:6" x14ac:dyDescent="0.25">
      <c r="A76" s="143">
        <v>7767.38</v>
      </c>
      <c r="B76" s="151"/>
      <c r="E76" s="143" t="s">
        <v>630</v>
      </c>
      <c r="F76" s="145"/>
    </row>
    <row r="77" spans="1:6" x14ac:dyDescent="0.25">
      <c r="A77" s="143">
        <v>14430</v>
      </c>
      <c r="B77" s="151"/>
      <c r="E77" s="128" t="s">
        <v>631</v>
      </c>
    </row>
    <row r="78" spans="1:6" x14ac:dyDescent="0.25">
      <c r="A78" s="143">
        <v>15030</v>
      </c>
      <c r="B78" s="151"/>
      <c r="E78"/>
    </row>
    <row r="79" spans="1:6" x14ac:dyDescent="0.25">
      <c r="A79" s="143">
        <v>15161.68</v>
      </c>
      <c r="B79" s="151"/>
      <c r="E79"/>
    </row>
    <row r="80" spans="1:6" x14ac:dyDescent="0.25">
      <c r="A80" s="143">
        <v>18390</v>
      </c>
      <c r="B80" s="151"/>
      <c r="E80"/>
    </row>
    <row r="81" spans="1:5" x14ac:dyDescent="0.25">
      <c r="A81" s="143">
        <v>22890</v>
      </c>
      <c r="B81" s="151"/>
      <c r="E81"/>
    </row>
    <row r="82" spans="1:5" x14ac:dyDescent="0.25">
      <c r="A82" s="143">
        <v>22929.07</v>
      </c>
      <c r="B82" s="151"/>
      <c r="E82"/>
    </row>
    <row r="83" spans="1:5" x14ac:dyDescent="0.25">
      <c r="A83" s="143">
        <v>24060</v>
      </c>
      <c r="B83" s="151"/>
      <c r="E83"/>
    </row>
    <row r="84" spans="1:5" x14ac:dyDescent="0.25">
      <c r="A84" s="143">
        <v>27000</v>
      </c>
      <c r="B84" s="151"/>
    </row>
    <row r="85" spans="1:5" x14ac:dyDescent="0.25">
      <c r="A85" s="143">
        <v>29790</v>
      </c>
      <c r="B85" s="151"/>
    </row>
    <row r="86" spans="1:5" x14ac:dyDescent="0.25">
      <c r="A86" s="143">
        <v>30000</v>
      </c>
      <c r="B86" s="151"/>
    </row>
    <row r="87" spans="1:5" x14ac:dyDescent="0.25">
      <c r="A87" s="143">
        <v>31890</v>
      </c>
      <c r="B87" s="151"/>
    </row>
    <row r="88" spans="1:5" x14ac:dyDescent="0.25">
      <c r="A88" s="143">
        <v>33612.1</v>
      </c>
      <c r="B88" s="151"/>
    </row>
    <row r="89" spans="1:5" x14ac:dyDescent="0.25">
      <c r="A89" s="143">
        <v>33930</v>
      </c>
      <c r="B89" s="151"/>
    </row>
    <row r="90" spans="1:5" x14ac:dyDescent="0.25">
      <c r="A90" s="143">
        <v>37950</v>
      </c>
      <c r="B90" s="151"/>
    </row>
    <row r="91" spans="1:5" x14ac:dyDescent="0.25">
      <c r="A91" s="143">
        <v>40020</v>
      </c>
      <c r="B91" s="151"/>
    </row>
    <row r="92" spans="1:5" x14ac:dyDescent="0.25">
      <c r="A92" s="143">
        <v>40680</v>
      </c>
      <c r="B92" s="151"/>
    </row>
    <row r="93" spans="1:5" x14ac:dyDescent="0.25">
      <c r="A93" s="143">
        <v>40770</v>
      </c>
      <c r="B93" s="151"/>
    </row>
    <row r="94" spans="1:5" x14ac:dyDescent="0.25">
      <c r="A94" s="143">
        <v>44970</v>
      </c>
      <c r="B94" s="151"/>
    </row>
    <row r="95" spans="1:5" x14ac:dyDescent="0.25">
      <c r="A95" s="143">
        <v>47010</v>
      </c>
      <c r="B95" s="151"/>
    </row>
    <row r="96" spans="1:5" x14ac:dyDescent="0.25">
      <c r="A96" s="143">
        <v>47220</v>
      </c>
      <c r="B96" s="151"/>
    </row>
    <row r="97" spans="1:2" x14ac:dyDescent="0.25">
      <c r="A97" s="143">
        <v>48773.760000000002</v>
      </c>
      <c r="B97" s="151"/>
    </row>
    <row r="98" spans="1:2" x14ac:dyDescent="0.25">
      <c r="A98" s="143">
        <v>75540</v>
      </c>
      <c r="B98" s="151"/>
    </row>
    <row r="99" spans="1:2" x14ac:dyDescent="0.25">
      <c r="A99" s="143">
        <v>81150</v>
      </c>
      <c r="B99" s="151"/>
    </row>
    <row r="100" spans="1:2" x14ac:dyDescent="0.25">
      <c r="A100" s="143">
        <v>83490</v>
      </c>
      <c r="B100" s="151"/>
    </row>
    <row r="101" spans="1:2" x14ac:dyDescent="0.25">
      <c r="A101" s="143">
        <v>83730</v>
      </c>
      <c r="B101" s="151"/>
    </row>
    <row r="102" spans="1:2" x14ac:dyDescent="0.25">
      <c r="A102" s="143">
        <v>83970</v>
      </c>
      <c r="B102" s="151"/>
    </row>
    <row r="103" spans="1:2" x14ac:dyDescent="0.25">
      <c r="A103" s="143">
        <v>84210</v>
      </c>
      <c r="B103" s="151"/>
    </row>
    <row r="104" spans="1:2" x14ac:dyDescent="0.25">
      <c r="A104" s="143">
        <v>84390</v>
      </c>
      <c r="B104" s="151"/>
    </row>
    <row r="105" spans="1:2" x14ac:dyDescent="0.25">
      <c r="A105" s="143">
        <v>85800</v>
      </c>
      <c r="B105" s="151"/>
    </row>
    <row r="106" spans="1:2" x14ac:dyDescent="0.25">
      <c r="A106" s="143">
        <v>86010</v>
      </c>
      <c r="B106" s="151"/>
    </row>
    <row r="107" spans="1:2" x14ac:dyDescent="0.25">
      <c r="A107" s="143">
        <v>89160</v>
      </c>
      <c r="B107" s="151"/>
    </row>
    <row r="108" spans="1:2" x14ac:dyDescent="0.25">
      <c r="A108" s="143">
        <v>91830</v>
      </c>
      <c r="B108" s="151"/>
    </row>
    <row r="109" spans="1:2" x14ac:dyDescent="0.25">
      <c r="A109" s="143">
        <v>92160</v>
      </c>
      <c r="B109" s="151"/>
    </row>
    <row r="110" spans="1:2" x14ac:dyDescent="0.25">
      <c r="A110" s="143">
        <v>94890</v>
      </c>
      <c r="B110" s="151"/>
    </row>
    <row r="111" spans="1:2" x14ac:dyDescent="0.25">
      <c r="A111" s="143">
        <v>96270</v>
      </c>
      <c r="B111" s="151"/>
    </row>
    <row r="112" spans="1:2" x14ac:dyDescent="0.25">
      <c r="A112" s="143">
        <v>100320</v>
      </c>
      <c r="B112" s="151"/>
    </row>
    <row r="113" spans="1:2" x14ac:dyDescent="0.25">
      <c r="A113" s="143">
        <v>100620</v>
      </c>
      <c r="B113" s="151"/>
    </row>
    <row r="114" spans="1:2" x14ac:dyDescent="0.25">
      <c r="A114" s="143">
        <v>102210</v>
      </c>
      <c r="B114" s="151"/>
    </row>
    <row r="115" spans="1:2" x14ac:dyDescent="0.25">
      <c r="A115" s="143">
        <v>102390</v>
      </c>
      <c r="B115" s="151"/>
    </row>
    <row r="116" spans="1:2" x14ac:dyDescent="0.25">
      <c r="A116" s="143">
        <v>103170</v>
      </c>
      <c r="B116" s="151"/>
    </row>
    <row r="117" spans="1:2" x14ac:dyDescent="0.25">
      <c r="A117" s="143">
        <v>104010</v>
      </c>
      <c r="B117" s="151"/>
    </row>
    <row r="118" spans="1:2" x14ac:dyDescent="0.25">
      <c r="A118" s="143">
        <v>109770</v>
      </c>
      <c r="B118" s="151"/>
    </row>
    <row r="119" spans="1:2" x14ac:dyDescent="0.25">
      <c r="A119" s="143">
        <v>115170</v>
      </c>
      <c r="B119" s="151"/>
    </row>
    <row r="120" spans="1:2" x14ac:dyDescent="0.25">
      <c r="A120" s="143">
        <v>124980</v>
      </c>
      <c r="B120" s="151"/>
    </row>
    <row r="121" spans="1:2" x14ac:dyDescent="0.25">
      <c r="A121" s="143">
        <v>125130</v>
      </c>
      <c r="B121" s="151"/>
    </row>
    <row r="122" spans="1:2" x14ac:dyDescent="0.25">
      <c r="A122" s="143">
        <v>132870</v>
      </c>
      <c r="B122" s="151"/>
    </row>
    <row r="123" spans="1:2" x14ac:dyDescent="0.25">
      <c r="A123" s="143">
        <v>133230</v>
      </c>
      <c r="B123" s="151"/>
    </row>
    <row r="124" spans="1:2" x14ac:dyDescent="0.25">
      <c r="A124" s="143">
        <v>136440</v>
      </c>
      <c r="B124" s="151"/>
    </row>
    <row r="125" spans="1:2" x14ac:dyDescent="0.25">
      <c r="A125" s="143">
        <v>138120</v>
      </c>
      <c r="B125" s="151"/>
    </row>
    <row r="126" spans="1:2" x14ac:dyDescent="0.25">
      <c r="A126" s="143">
        <v>141510</v>
      </c>
      <c r="B126" s="151"/>
    </row>
    <row r="127" spans="1:2" x14ac:dyDescent="0.25">
      <c r="A127" s="143">
        <v>144600</v>
      </c>
      <c r="B127" s="151"/>
    </row>
    <row r="128" spans="1:2" x14ac:dyDescent="0.25">
      <c r="A128" s="143">
        <v>146250</v>
      </c>
      <c r="B128" s="151"/>
    </row>
    <row r="129" spans="1:2" x14ac:dyDescent="0.25">
      <c r="A129" s="143">
        <v>148650</v>
      </c>
      <c r="B129" s="151"/>
    </row>
    <row r="130" spans="1:2" x14ac:dyDescent="0.25">
      <c r="A130" s="143">
        <v>157200</v>
      </c>
      <c r="B130" s="151"/>
    </row>
    <row r="131" spans="1:2" x14ac:dyDescent="0.25">
      <c r="A131" s="143">
        <v>157410</v>
      </c>
      <c r="B131" s="151"/>
    </row>
    <row r="132" spans="1:2" x14ac:dyDescent="0.25">
      <c r="A132" s="143">
        <v>157830</v>
      </c>
      <c r="B132" s="151"/>
    </row>
    <row r="133" spans="1:2" x14ac:dyDescent="0.25">
      <c r="A133" s="143">
        <v>160680</v>
      </c>
      <c r="B133" s="151"/>
    </row>
    <row r="134" spans="1:2" x14ac:dyDescent="0.25">
      <c r="A134" s="143">
        <v>184200</v>
      </c>
      <c r="B134" s="151"/>
    </row>
    <row r="135" spans="1:2" x14ac:dyDescent="0.25">
      <c r="A135" s="143">
        <v>186210</v>
      </c>
      <c r="B135" s="151"/>
    </row>
    <row r="136" spans="1:2" x14ac:dyDescent="0.25">
      <c r="A136" s="143">
        <v>192840</v>
      </c>
      <c r="B136" s="151"/>
    </row>
    <row r="137" spans="1:2" x14ac:dyDescent="0.25">
      <c r="A137" s="143">
        <v>203010</v>
      </c>
      <c r="B137" s="151"/>
    </row>
    <row r="138" spans="1:2" x14ac:dyDescent="0.25">
      <c r="A138" s="143">
        <v>210240</v>
      </c>
      <c r="B138" s="151"/>
    </row>
    <row r="139" spans="1:2" x14ac:dyDescent="0.25">
      <c r="A139" s="143">
        <v>212130</v>
      </c>
      <c r="B139" s="151"/>
    </row>
    <row r="140" spans="1:2" x14ac:dyDescent="0.25">
      <c r="A140" s="143">
        <v>243570</v>
      </c>
      <c r="B140" s="151"/>
    </row>
    <row r="141" spans="1:2" x14ac:dyDescent="0.25">
      <c r="A141" s="143">
        <v>245160</v>
      </c>
      <c r="B141" s="151"/>
    </row>
    <row r="142" spans="1:2" x14ac:dyDescent="0.25">
      <c r="A142" s="143">
        <v>248670</v>
      </c>
      <c r="B142" s="151"/>
    </row>
    <row r="143" spans="1:2" x14ac:dyDescent="0.25">
      <c r="A143" s="143">
        <v>260010</v>
      </c>
      <c r="B143" s="151"/>
    </row>
    <row r="144" spans="1:2" x14ac:dyDescent="0.25">
      <c r="A144" s="143">
        <v>278490</v>
      </c>
      <c r="B144" s="151"/>
    </row>
    <row r="145" spans="1:2" x14ac:dyDescent="0.25">
      <c r="A145" s="143">
        <v>288540</v>
      </c>
      <c r="B145" s="151"/>
    </row>
    <row r="146" spans="1:2" x14ac:dyDescent="0.25">
      <c r="A146" s="143">
        <v>297870</v>
      </c>
      <c r="B146" s="151"/>
    </row>
    <row r="147" spans="1:2" x14ac:dyDescent="0.25">
      <c r="A147" s="143">
        <v>303810</v>
      </c>
      <c r="B147" s="151"/>
    </row>
    <row r="148" spans="1:2" x14ac:dyDescent="0.25">
      <c r="A148" s="143">
        <v>309420</v>
      </c>
      <c r="B148" s="151"/>
    </row>
    <row r="149" spans="1:2" x14ac:dyDescent="0.25">
      <c r="A149" s="143">
        <v>356220</v>
      </c>
      <c r="B149" s="151"/>
    </row>
    <row r="150" spans="1:2" x14ac:dyDescent="0.25">
      <c r="A150" s="143">
        <v>374820</v>
      </c>
      <c r="B150" s="151"/>
    </row>
    <row r="151" spans="1:2" x14ac:dyDescent="0.25">
      <c r="A151" s="143">
        <v>377610</v>
      </c>
      <c r="B151" s="151"/>
    </row>
    <row r="152" spans="1:2" x14ac:dyDescent="0.25">
      <c r="A152" s="143">
        <v>418950</v>
      </c>
      <c r="B152" s="151"/>
    </row>
    <row r="153" spans="1:2" x14ac:dyDescent="0.25">
      <c r="A153" s="143">
        <v>467130</v>
      </c>
      <c r="B153" s="151"/>
    </row>
    <row r="154" spans="1:2" x14ac:dyDescent="0.25">
      <c r="A154" s="143">
        <v>475680</v>
      </c>
      <c r="B154" s="151"/>
    </row>
    <row r="155" spans="1:2" x14ac:dyDescent="0.25">
      <c r="A155" s="129" t="s">
        <v>639</v>
      </c>
      <c r="B155" s="151"/>
    </row>
    <row r="156" spans="1:2" x14ac:dyDescent="0.25">
      <c r="A156" s="143">
        <v>80000</v>
      </c>
      <c r="B156" s="151"/>
    </row>
    <row r="157" spans="1:2" x14ac:dyDescent="0.25">
      <c r="A157" s="129" t="s">
        <v>641</v>
      </c>
      <c r="B157" s="151"/>
    </row>
    <row r="158" spans="1:2" x14ac:dyDescent="0.25">
      <c r="A158" s="143">
        <v>16000</v>
      </c>
      <c r="B158" s="151"/>
    </row>
    <row r="159" spans="1:2" x14ac:dyDescent="0.25">
      <c r="A159" s="143">
        <v>24000</v>
      </c>
      <c r="B159" s="151"/>
    </row>
    <row r="160" spans="1:2" x14ac:dyDescent="0.25">
      <c r="A160" s="143">
        <v>32000</v>
      </c>
      <c r="B160" s="151"/>
    </row>
    <row r="161" spans="1:3" x14ac:dyDescent="0.25">
      <c r="A161" s="143">
        <v>47058.879999999997</v>
      </c>
      <c r="B161" s="151"/>
    </row>
    <row r="162" spans="1:3" x14ac:dyDescent="0.25">
      <c r="A162" s="143">
        <v>58720</v>
      </c>
      <c r="B162" s="151"/>
    </row>
    <row r="163" spans="1:3" x14ac:dyDescent="0.25">
      <c r="A163" s="143">
        <v>3000000</v>
      </c>
      <c r="B163" s="151"/>
    </row>
    <row r="164" spans="1:3" x14ac:dyDescent="0.25">
      <c r="A164" s="128" t="s">
        <v>607</v>
      </c>
      <c r="B164" s="151"/>
    </row>
    <row r="165" spans="1:3" x14ac:dyDescent="0.25">
      <c r="A165" s="129" t="s">
        <v>636</v>
      </c>
      <c r="B165" s="152"/>
    </row>
    <row r="166" spans="1:3" x14ac:dyDescent="0.25">
      <c r="A166" s="143">
        <v>48800</v>
      </c>
      <c r="B166" s="152"/>
    </row>
    <row r="167" spans="1:3" x14ac:dyDescent="0.25">
      <c r="A167" s="146" t="s">
        <v>518</v>
      </c>
      <c r="B167" s="154">
        <f>A169</f>
        <v>22100000</v>
      </c>
      <c r="C167" s="148"/>
    </row>
    <row r="168" spans="1:3" x14ac:dyDescent="0.25">
      <c r="A168" s="129" t="s">
        <v>638</v>
      </c>
      <c r="B168" s="151">
        <f>A169/B167</f>
        <v>1</v>
      </c>
    </row>
    <row r="169" spans="1:3" x14ac:dyDescent="0.25">
      <c r="A169" s="143">
        <v>22100000</v>
      </c>
    </row>
    <row r="170" spans="1:3" x14ac:dyDescent="0.25">
      <c r="A170" s="146" t="s">
        <v>410</v>
      </c>
      <c r="B170" s="154">
        <f>A172+A173</f>
        <v>5200000</v>
      </c>
      <c r="C170" s="148"/>
    </row>
    <row r="171" spans="1:3" x14ac:dyDescent="0.25">
      <c r="A171" s="129" t="s">
        <v>636</v>
      </c>
      <c r="B171" s="151">
        <f>+(A172+A173)/B170</f>
        <v>1</v>
      </c>
    </row>
    <row r="172" spans="1:3" x14ac:dyDescent="0.25">
      <c r="A172" s="143">
        <v>2000000</v>
      </c>
      <c r="B172" s="151"/>
    </row>
    <row r="173" spans="1:3" x14ac:dyDescent="0.25">
      <c r="A173" s="143">
        <v>3200000</v>
      </c>
      <c r="B173" s="151"/>
    </row>
    <row r="174" spans="1:3" x14ac:dyDescent="0.25">
      <c r="A174" s="146" t="s">
        <v>486</v>
      </c>
      <c r="B174" s="154">
        <f>A176+A178</f>
        <v>13301882</v>
      </c>
      <c r="C174" s="148"/>
    </row>
    <row r="175" spans="1:3" x14ac:dyDescent="0.25">
      <c r="A175" s="129" t="s">
        <v>636</v>
      </c>
      <c r="B175" s="151">
        <f>+A176/B174</f>
        <v>7.65921694388809E-3</v>
      </c>
    </row>
    <row r="176" spans="1:3" x14ac:dyDescent="0.25">
      <c r="A176" s="143">
        <v>101882</v>
      </c>
      <c r="B176" s="151"/>
    </row>
    <row r="177" spans="1:3" x14ac:dyDescent="0.25">
      <c r="A177" s="129" t="s">
        <v>639</v>
      </c>
      <c r="B177" s="151"/>
    </row>
    <row r="178" spans="1:3" x14ac:dyDescent="0.25">
      <c r="A178" s="143">
        <v>13200000</v>
      </c>
      <c r="B178" s="151">
        <f>A178/B174</f>
        <v>0.99234078305611195</v>
      </c>
    </row>
    <row r="179" spans="1:3" x14ac:dyDescent="0.25">
      <c r="A179" s="146" t="s">
        <v>448</v>
      </c>
      <c r="B179" s="153">
        <f>A181+A182+A183+A184+A185+A188+A191</f>
        <v>30357187.480000004</v>
      </c>
      <c r="C179" s="148"/>
    </row>
    <row r="180" spans="1:3" x14ac:dyDescent="0.25">
      <c r="A180" s="129" t="s">
        <v>639</v>
      </c>
      <c r="B180" s="151">
        <f>+(A181+A182+A183+A184+A185)/B179</f>
        <v>0.89279161641228566</v>
      </c>
    </row>
    <row r="181" spans="1:3" x14ac:dyDescent="0.25">
      <c r="A181" s="143">
        <v>2403282.5499999998</v>
      </c>
      <c r="B181" s="151"/>
    </row>
    <row r="182" spans="1:3" x14ac:dyDescent="0.25">
      <c r="A182" s="143">
        <v>5195960.07</v>
      </c>
      <c r="B182" s="151"/>
    </row>
    <row r="183" spans="1:3" x14ac:dyDescent="0.25">
      <c r="A183" s="143">
        <v>5290957</v>
      </c>
      <c r="B183" s="151"/>
    </row>
    <row r="184" spans="1:3" x14ac:dyDescent="0.25">
      <c r="A184" s="143">
        <v>6148790.9400000004</v>
      </c>
      <c r="B184" s="151"/>
    </row>
    <row r="185" spans="1:3" x14ac:dyDescent="0.25">
      <c r="A185" s="143">
        <v>8063651.9199999999</v>
      </c>
      <c r="B185" s="151"/>
    </row>
    <row r="186" spans="1:3" x14ac:dyDescent="0.25">
      <c r="A186" s="128" t="s">
        <v>615</v>
      </c>
      <c r="B186" s="151"/>
    </row>
    <row r="187" spans="1:3" x14ac:dyDescent="0.25">
      <c r="A187" s="129" t="s">
        <v>638</v>
      </c>
      <c r="B187" s="151">
        <f>+(A188+A191)/B179</f>
        <v>0.10720838358771435</v>
      </c>
    </row>
    <row r="188" spans="1:3" x14ac:dyDescent="0.25">
      <c r="A188" s="143">
        <v>2354545</v>
      </c>
      <c r="B188" s="151"/>
    </row>
    <row r="189" spans="1:3" x14ac:dyDescent="0.25">
      <c r="A189" s="128" t="s">
        <v>616</v>
      </c>
      <c r="B189" s="151"/>
    </row>
    <row r="190" spans="1:3" x14ac:dyDescent="0.25">
      <c r="A190" s="129" t="s">
        <v>638</v>
      </c>
      <c r="B190" s="151"/>
    </row>
    <row r="191" spans="1:3" x14ac:dyDescent="0.25">
      <c r="A191" s="143">
        <v>900000</v>
      </c>
      <c r="B191" s="151"/>
    </row>
    <row r="192" spans="1:3" x14ac:dyDescent="0.25">
      <c r="A192" s="146" t="s">
        <v>463</v>
      </c>
      <c r="B192" s="154">
        <f>+A194+A195</f>
        <v>1800000</v>
      </c>
      <c r="C192" s="148"/>
    </row>
    <row r="193" spans="1:3" x14ac:dyDescent="0.25">
      <c r="A193" s="129" t="s">
        <v>636</v>
      </c>
      <c r="B193" s="151">
        <f>+(A194+A195)/B192</f>
        <v>1</v>
      </c>
    </row>
    <row r="194" spans="1:3" x14ac:dyDescent="0.25">
      <c r="A194" s="143">
        <v>300000</v>
      </c>
      <c r="B194" s="151"/>
    </row>
    <row r="195" spans="1:3" x14ac:dyDescent="0.25">
      <c r="A195" s="143">
        <v>1500000</v>
      </c>
      <c r="B195" s="151"/>
    </row>
    <row r="196" spans="1:3" x14ac:dyDescent="0.25">
      <c r="A196" s="146" t="s">
        <v>618</v>
      </c>
      <c r="B196" s="153">
        <f>A198</f>
        <v>500000</v>
      </c>
      <c r="C196" s="148"/>
    </row>
    <row r="197" spans="1:3" x14ac:dyDescent="0.25">
      <c r="A197" s="129" t="s">
        <v>638</v>
      </c>
      <c r="B197" s="151">
        <f>+A198/B196</f>
        <v>1</v>
      </c>
    </row>
    <row r="198" spans="1:3" x14ac:dyDescent="0.25">
      <c r="A198" s="143">
        <v>500000</v>
      </c>
      <c r="B198" s="151"/>
    </row>
    <row r="199" spans="1:3" x14ac:dyDescent="0.25">
      <c r="A199" s="146" t="s">
        <v>359</v>
      </c>
      <c r="B199" s="154">
        <f>+A201+A203</f>
        <v>48690000</v>
      </c>
      <c r="C199" s="148"/>
    </row>
    <row r="200" spans="1:3" x14ac:dyDescent="0.25">
      <c r="A200" s="129" t="s">
        <v>636</v>
      </c>
      <c r="B200" s="151"/>
    </row>
    <row r="201" spans="1:3" x14ac:dyDescent="0.25">
      <c r="A201" s="143">
        <v>47190000</v>
      </c>
      <c r="B201" s="151">
        <f>+A201/B199</f>
        <v>0.96919285274183609</v>
      </c>
    </row>
    <row r="202" spans="1:3" x14ac:dyDescent="0.25">
      <c r="A202" s="129" t="s">
        <v>641</v>
      </c>
      <c r="B202" s="151"/>
    </row>
    <row r="203" spans="1:3" x14ac:dyDescent="0.25">
      <c r="A203" s="143">
        <v>1500000</v>
      </c>
      <c r="B203" s="151">
        <f>+A203/B199</f>
        <v>3.0807147258163893E-2</v>
      </c>
    </row>
    <row r="204" spans="1:3" x14ac:dyDescent="0.25">
      <c r="A204" s="146" t="s">
        <v>613</v>
      </c>
      <c r="B204" s="154">
        <f>+A206+A209+A210+A211+A213+A214+A216+A219+A221+A220+A222+A223+A224+A225+A226+A227+A228+A229+A230</f>
        <v>16895280.690000001</v>
      </c>
      <c r="C204" s="148"/>
    </row>
    <row r="205" spans="1:3" x14ac:dyDescent="0.25">
      <c r="A205" s="129" t="s">
        <v>636</v>
      </c>
      <c r="B205" s="151">
        <f>+(A206+A209+A210+A211+A219+A220+A221+A222+A223+A224+A225+A226+A227+A228+A229+A230)/B204</f>
        <v>0.73974877833177943</v>
      </c>
    </row>
    <row r="206" spans="1:3" x14ac:dyDescent="0.25">
      <c r="A206" s="143">
        <v>85000</v>
      </c>
      <c r="B206" s="151"/>
    </row>
    <row r="207" spans="1:3" x14ac:dyDescent="0.25">
      <c r="A207" s="128" t="s">
        <v>391</v>
      </c>
      <c r="B207" s="151"/>
    </row>
    <row r="208" spans="1:3" x14ac:dyDescent="0.25">
      <c r="A208" s="129" t="s">
        <v>636</v>
      </c>
      <c r="B208" s="151"/>
    </row>
    <row r="209" spans="1:2" x14ac:dyDescent="0.25">
      <c r="A209" s="143">
        <v>200000</v>
      </c>
      <c r="B209" s="151"/>
    </row>
    <row r="210" spans="1:2" x14ac:dyDescent="0.25">
      <c r="A210" s="143">
        <v>3000000</v>
      </c>
      <c r="B210" s="151"/>
    </row>
    <row r="211" spans="1:2" x14ac:dyDescent="0.25">
      <c r="A211" s="143">
        <v>7490000</v>
      </c>
      <c r="B211" s="151"/>
    </row>
    <row r="212" spans="1:2" x14ac:dyDescent="0.25">
      <c r="A212" s="129" t="s">
        <v>638</v>
      </c>
      <c r="B212" s="151">
        <f>+(A213+A214)/B204</f>
        <v>0.11245743914302496</v>
      </c>
    </row>
    <row r="213" spans="1:2" x14ac:dyDescent="0.25">
      <c r="A213" s="143">
        <v>400000</v>
      </c>
      <c r="B213" s="151"/>
    </row>
    <row r="214" spans="1:2" x14ac:dyDescent="0.25">
      <c r="A214" s="143">
        <v>1500000</v>
      </c>
      <c r="B214" s="151"/>
    </row>
    <row r="215" spans="1:2" x14ac:dyDescent="0.25">
      <c r="A215" s="129" t="s">
        <v>639</v>
      </c>
      <c r="B215" s="151">
        <f>+A216/B204</f>
        <v>0.14779378252519579</v>
      </c>
    </row>
    <row r="216" spans="1:2" x14ac:dyDescent="0.25">
      <c r="A216" s="143">
        <v>2497017.44</v>
      </c>
      <c r="B216" s="151"/>
    </row>
    <row r="217" spans="1:2" x14ac:dyDescent="0.25">
      <c r="A217" s="128" t="s">
        <v>107</v>
      </c>
      <c r="B217" s="151"/>
    </row>
    <row r="218" spans="1:2" x14ac:dyDescent="0.25">
      <c r="A218" s="129" t="s">
        <v>636</v>
      </c>
      <c r="B218" s="151"/>
    </row>
    <row r="219" spans="1:2" x14ac:dyDescent="0.25">
      <c r="A219" s="143">
        <v>6362.92</v>
      </c>
      <c r="B219" s="151"/>
    </row>
    <row r="220" spans="1:2" x14ac:dyDescent="0.25">
      <c r="A220" s="143">
        <v>15727.63</v>
      </c>
      <c r="B220" s="151"/>
    </row>
    <row r="221" spans="1:2" x14ac:dyDescent="0.25">
      <c r="A221" s="143">
        <v>15727.64</v>
      </c>
      <c r="B221" s="151"/>
    </row>
    <row r="222" spans="1:2" x14ac:dyDescent="0.25">
      <c r="A222" s="143">
        <v>27531.75</v>
      </c>
      <c r="B222" s="151"/>
    </row>
    <row r="223" spans="1:2" x14ac:dyDescent="0.25">
      <c r="A223" s="143">
        <v>30814.98</v>
      </c>
      <c r="B223" s="151"/>
    </row>
    <row r="224" spans="1:2" x14ac:dyDescent="0.25">
      <c r="A224" s="143">
        <v>45902.400000000001</v>
      </c>
      <c r="B224" s="151"/>
    </row>
    <row r="225" spans="1:2" x14ac:dyDescent="0.25">
      <c r="A225" s="143">
        <v>57706.46</v>
      </c>
      <c r="B225" s="151"/>
    </row>
    <row r="226" spans="1:2" x14ac:dyDescent="0.25">
      <c r="A226" s="143">
        <v>59471.75</v>
      </c>
      <c r="B226" s="151"/>
    </row>
    <row r="227" spans="1:2" x14ac:dyDescent="0.25">
      <c r="A227" s="143">
        <v>59471.77</v>
      </c>
      <c r="B227" s="151"/>
    </row>
    <row r="228" spans="1:2" x14ac:dyDescent="0.25">
      <c r="A228" s="143">
        <v>80597.09</v>
      </c>
      <c r="B228" s="151"/>
    </row>
    <row r="229" spans="1:2" x14ac:dyDescent="0.25">
      <c r="A229" s="143">
        <v>102609.72</v>
      </c>
      <c r="B229" s="151"/>
    </row>
    <row r="230" spans="1:2" x14ac:dyDescent="0.25">
      <c r="A230" s="143">
        <v>1221339.1399999999</v>
      </c>
      <c r="B230" s="151"/>
    </row>
    <row r="231" spans="1:2" x14ac:dyDescent="0.25">
      <c r="A231" s="128" t="s">
        <v>630</v>
      </c>
      <c r="B231" s="151"/>
    </row>
    <row r="232" spans="1:2" x14ac:dyDescent="0.25">
      <c r="A232" s="129" t="s">
        <v>636</v>
      </c>
      <c r="B232" s="151"/>
    </row>
    <row r="233" spans="1:2" x14ac:dyDescent="0.25">
      <c r="A233" s="143" t="s">
        <v>630</v>
      </c>
      <c r="B233" s="151"/>
    </row>
    <row r="234" spans="1:2" x14ac:dyDescent="0.25">
      <c r="A234" s="129" t="s">
        <v>637</v>
      </c>
      <c r="B234" s="151"/>
    </row>
    <row r="235" spans="1:2" x14ac:dyDescent="0.25">
      <c r="A235" s="143" t="s">
        <v>630</v>
      </c>
      <c r="B235" s="151"/>
    </row>
    <row r="236" spans="1:2" x14ac:dyDescent="0.25">
      <c r="A236" s="129" t="s">
        <v>638</v>
      </c>
      <c r="B236" s="151"/>
    </row>
    <row r="237" spans="1:2" x14ac:dyDescent="0.25">
      <c r="A237" s="143" t="s">
        <v>630</v>
      </c>
      <c r="B237" s="151"/>
    </row>
    <row r="238" spans="1:2" x14ac:dyDescent="0.25">
      <c r="A238" s="129" t="s">
        <v>639</v>
      </c>
      <c r="B238" s="151"/>
    </row>
    <row r="239" spans="1:2" x14ac:dyDescent="0.25">
      <c r="A239" s="143" t="s">
        <v>630</v>
      </c>
      <c r="B239" s="151"/>
    </row>
    <row r="240" spans="1:2" x14ac:dyDescent="0.25">
      <c r="A240" s="129" t="s">
        <v>640</v>
      </c>
      <c r="B240" s="151"/>
    </row>
    <row r="241" spans="1:3" x14ac:dyDescent="0.25">
      <c r="A241" s="143" t="s">
        <v>630</v>
      </c>
      <c r="B241" s="151"/>
    </row>
    <row r="242" spans="1:3" x14ac:dyDescent="0.25">
      <c r="A242" s="129" t="s">
        <v>641</v>
      </c>
      <c r="B242" s="151"/>
    </row>
    <row r="243" spans="1:3" x14ac:dyDescent="0.25">
      <c r="A243" s="143" t="s">
        <v>630</v>
      </c>
      <c r="B243" s="151"/>
    </row>
    <row r="244" spans="1:3" x14ac:dyDescent="0.25">
      <c r="A244" s="129" t="s">
        <v>630</v>
      </c>
      <c r="B244" s="151"/>
    </row>
    <row r="245" spans="1:3" x14ac:dyDescent="0.25">
      <c r="A245" s="143" t="s">
        <v>630</v>
      </c>
      <c r="B245" s="151"/>
    </row>
    <row r="246" spans="1:3" x14ac:dyDescent="0.25">
      <c r="A246" s="146" t="s">
        <v>631</v>
      </c>
      <c r="B246" s="148"/>
      <c r="C246" s="148"/>
    </row>
    <row r="247" spans="1:3" x14ac:dyDescent="0.25">
      <c r="A247"/>
    </row>
    <row r="248" spans="1:3" x14ac:dyDescent="0.25">
      <c r="A248"/>
    </row>
    <row r="249" spans="1:3" x14ac:dyDescent="0.25">
      <c r="A249"/>
    </row>
    <row r="250" spans="1:3" x14ac:dyDescent="0.25">
      <c r="A250"/>
    </row>
    <row r="251" spans="1:3" x14ac:dyDescent="0.25">
      <c r="A251"/>
    </row>
    <row r="252" spans="1:3" x14ac:dyDescent="0.25">
      <c r="A252"/>
    </row>
    <row r="253" spans="1:3" x14ac:dyDescent="0.25">
      <c r="A253"/>
    </row>
    <row r="254" spans="1:3" x14ac:dyDescent="0.25">
      <c r="A254"/>
    </row>
    <row r="255" spans="1:3" x14ac:dyDescent="0.25">
      <c r="A255"/>
    </row>
    <row r="256" spans="1:3" x14ac:dyDescent="0.25">
      <c r="A256"/>
    </row>
    <row r="257" spans="1:1" x14ac:dyDescent="0.25">
      <c r="A257"/>
    </row>
    <row r="258" spans="1:1" x14ac:dyDescent="0.25">
      <c r="A258"/>
    </row>
    <row r="259" spans="1:1" x14ac:dyDescent="0.25">
      <c r="A259"/>
    </row>
    <row r="260" spans="1:1" x14ac:dyDescent="0.25">
      <c r="A260"/>
    </row>
    <row r="261" spans="1:1" x14ac:dyDescent="0.25">
      <c r="A261"/>
    </row>
    <row r="262" spans="1:1" x14ac:dyDescent="0.25">
      <c r="A262"/>
    </row>
    <row r="263" spans="1:1" x14ac:dyDescent="0.25">
      <c r="A263"/>
    </row>
    <row r="264" spans="1:1" x14ac:dyDescent="0.25">
      <c r="A264"/>
    </row>
    <row r="265" spans="1:1" x14ac:dyDescent="0.25">
      <c r="A265"/>
    </row>
    <row r="266" spans="1:1" x14ac:dyDescent="0.25">
      <c r="A266"/>
    </row>
    <row r="267" spans="1:1" x14ac:dyDescent="0.25">
      <c r="A267"/>
    </row>
    <row r="268" spans="1:1" x14ac:dyDescent="0.25">
      <c r="A268"/>
    </row>
    <row r="269" spans="1:1" x14ac:dyDescent="0.25">
      <c r="A269"/>
    </row>
    <row r="270" spans="1:1" x14ac:dyDescent="0.25">
      <c r="A270"/>
    </row>
    <row r="271" spans="1:1" x14ac:dyDescent="0.25">
      <c r="A271"/>
    </row>
    <row r="272" spans="1:1" x14ac:dyDescent="0.25">
      <c r="A272"/>
    </row>
    <row r="273" spans="1:1" x14ac:dyDescent="0.25">
      <c r="A273"/>
    </row>
    <row r="274" spans="1:1" x14ac:dyDescent="0.25">
      <c r="A274"/>
    </row>
    <row r="275" spans="1:1" x14ac:dyDescent="0.25">
      <c r="A275"/>
    </row>
    <row r="276" spans="1:1" x14ac:dyDescent="0.25">
      <c r="A276"/>
    </row>
    <row r="277" spans="1:1" x14ac:dyDescent="0.25">
      <c r="A277"/>
    </row>
    <row r="278" spans="1:1" x14ac:dyDescent="0.25">
      <c r="A278"/>
    </row>
    <row r="279" spans="1:1" x14ac:dyDescent="0.25">
      <c r="A279"/>
    </row>
    <row r="280" spans="1:1" x14ac:dyDescent="0.25">
      <c r="A280"/>
    </row>
    <row r="281" spans="1:1" x14ac:dyDescent="0.25">
      <c r="A281"/>
    </row>
    <row r="282" spans="1:1" x14ac:dyDescent="0.25">
      <c r="A282"/>
    </row>
    <row r="283" spans="1:1" x14ac:dyDescent="0.25">
      <c r="A283"/>
    </row>
    <row r="284" spans="1:1" x14ac:dyDescent="0.25">
      <c r="A284"/>
    </row>
    <row r="285" spans="1:1" x14ac:dyDescent="0.25">
      <c r="A285"/>
    </row>
    <row r="286" spans="1:1" x14ac:dyDescent="0.25">
      <c r="A286"/>
    </row>
    <row r="287" spans="1:1" x14ac:dyDescent="0.25">
      <c r="A287"/>
    </row>
    <row r="288" spans="1:1" x14ac:dyDescent="0.25">
      <c r="A288"/>
    </row>
    <row r="289" spans="1:1" x14ac:dyDescent="0.25">
      <c r="A289"/>
    </row>
    <row r="290" spans="1:1" x14ac:dyDescent="0.25">
      <c r="A290"/>
    </row>
    <row r="291" spans="1:1" x14ac:dyDescent="0.25">
      <c r="A291"/>
    </row>
    <row r="292" spans="1:1" x14ac:dyDescent="0.25">
      <c r="A292"/>
    </row>
    <row r="293" spans="1:1" x14ac:dyDescent="0.25">
      <c r="A293"/>
    </row>
    <row r="294" spans="1:1" x14ac:dyDescent="0.25">
      <c r="A294"/>
    </row>
    <row r="295" spans="1:1" x14ac:dyDescent="0.25">
      <c r="A295"/>
    </row>
    <row r="296" spans="1:1" x14ac:dyDescent="0.25">
      <c r="A296"/>
    </row>
    <row r="297" spans="1:1" x14ac:dyDescent="0.25">
      <c r="A297"/>
    </row>
    <row r="298" spans="1:1" x14ac:dyDescent="0.25">
      <c r="A298"/>
    </row>
    <row r="299" spans="1:1" x14ac:dyDescent="0.25">
      <c r="A299"/>
    </row>
    <row r="300" spans="1:1" x14ac:dyDescent="0.25">
      <c r="A300"/>
    </row>
    <row r="301" spans="1:1" x14ac:dyDescent="0.25">
      <c r="A301"/>
    </row>
    <row r="302" spans="1:1" x14ac:dyDescent="0.25">
      <c r="A302"/>
    </row>
    <row r="303" spans="1:1" x14ac:dyDescent="0.25">
      <c r="A303"/>
    </row>
    <row r="304" spans="1:1" x14ac:dyDescent="0.25">
      <c r="A304"/>
    </row>
    <row r="305" spans="1:1" x14ac:dyDescent="0.25">
      <c r="A305"/>
    </row>
    <row r="306" spans="1:1" x14ac:dyDescent="0.25">
      <c r="A306"/>
    </row>
    <row r="307" spans="1:1" x14ac:dyDescent="0.25">
      <c r="A307"/>
    </row>
    <row r="308" spans="1:1" x14ac:dyDescent="0.25">
      <c r="A308"/>
    </row>
    <row r="309" spans="1:1" x14ac:dyDescent="0.25">
      <c r="A309"/>
    </row>
    <row r="310" spans="1:1" x14ac:dyDescent="0.25">
      <c r="A310"/>
    </row>
    <row r="311" spans="1:1" x14ac:dyDescent="0.25">
      <c r="A311"/>
    </row>
    <row r="312" spans="1:1" x14ac:dyDescent="0.25">
      <c r="A312"/>
    </row>
    <row r="313" spans="1:1" x14ac:dyDescent="0.25">
      <c r="A313"/>
    </row>
    <row r="314" spans="1:1" x14ac:dyDescent="0.25">
      <c r="A314"/>
    </row>
    <row r="315" spans="1:1" x14ac:dyDescent="0.25">
      <c r="A315"/>
    </row>
    <row r="316" spans="1:1" x14ac:dyDescent="0.25">
      <c r="A316"/>
    </row>
    <row r="317" spans="1:1" x14ac:dyDescent="0.25">
      <c r="A317"/>
    </row>
    <row r="318" spans="1:1" x14ac:dyDescent="0.25">
      <c r="A318"/>
    </row>
    <row r="319" spans="1:1" x14ac:dyDescent="0.25">
      <c r="A319"/>
    </row>
    <row r="320" spans="1:1" x14ac:dyDescent="0.25">
      <c r="A320"/>
    </row>
    <row r="321" spans="1:1" x14ac:dyDescent="0.25">
      <c r="A321"/>
    </row>
    <row r="322" spans="1:1" x14ac:dyDescent="0.25">
      <c r="A322"/>
    </row>
    <row r="323" spans="1:1" x14ac:dyDescent="0.25">
      <c r="A323"/>
    </row>
    <row r="324" spans="1:1" x14ac:dyDescent="0.25">
      <c r="A324"/>
    </row>
    <row r="325" spans="1:1" x14ac:dyDescent="0.25">
      <c r="A325"/>
    </row>
    <row r="326" spans="1:1" x14ac:dyDescent="0.25">
      <c r="A326"/>
    </row>
    <row r="327" spans="1:1" x14ac:dyDescent="0.25">
      <c r="A327"/>
    </row>
    <row r="328" spans="1:1" x14ac:dyDescent="0.25">
      <c r="A328"/>
    </row>
    <row r="329" spans="1:1" x14ac:dyDescent="0.25">
      <c r="A329"/>
    </row>
    <row r="330" spans="1:1" x14ac:dyDescent="0.25">
      <c r="A330"/>
    </row>
    <row r="331" spans="1:1" x14ac:dyDescent="0.25">
      <c r="A331"/>
    </row>
    <row r="332" spans="1:1" x14ac:dyDescent="0.25">
      <c r="A332"/>
    </row>
    <row r="333" spans="1:1" x14ac:dyDescent="0.25">
      <c r="A333"/>
    </row>
    <row r="334" spans="1:1" x14ac:dyDescent="0.25">
      <c r="A334"/>
    </row>
    <row r="335" spans="1:1" x14ac:dyDescent="0.25">
      <c r="A335"/>
    </row>
    <row r="336" spans="1:1" x14ac:dyDescent="0.25">
      <c r="A336"/>
    </row>
    <row r="337" spans="1:1" x14ac:dyDescent="0.25">
      <c r="A337"/>
    </row>
    <row r="338" spans="1:1" x14ac:dyDescent="0.25">
      <c r="A338"/>
    </row>
    <row r="339" spans="1:1" x14ac:dyDescent="0.25">
      <c r="A339"/>
    </row>
    <row r="340" spans="1:1" x14ac:dyDescent="0.25">
      <c r="A340"/>
    </row>
    <row r="341" spans="1:1" x14ac:dyDescent="0.25">
      <c r="A341"/>
    </row>
    <row r="342" spans="1:1" x14ac:dyDescent="0.25">
      <c r="A342"/>
    </row>
    <row r="343" spans="1:1" x14ac:dyDescent="0.25">
      <c r="A343"/>
    </row>
    <row r="344" spans="1:1" x14ac:dyDescent="0.25">
      <c r="A344"/>
    </row>
    <row r="345" spans="1:1" x14ac:dyDescent="0.25">
      <c r="A345"/>
    </row>
    <row r="346" spans="1:1" x14ac:dyDescent="0.25">
      <c r="A346"/>
    </row>
    <row r="347" spans="1:1" x14ac:dyDescent="0.25">
      <c r="A347"/>
    </row>
    <row r="348" spans="1:1" x14ac:dyDescent="0.25">
      <c r="A348"/>
    </row>
    <row r="349" spans="1:1" x14ac:dyDescent="0.25">
      <c r="A349"/>
    </row>
    <row r="350" spans="1:1" x14ac:dyDescent="0.25">
      <c r="A350"/>
    </row>
    <row r="351" spans="1:1" x14ac:dyDescent="0.25">
      <c r="A351"/>
    </row>
    <row r="352" spans="1:1" x14ac:dyDescent="0.25">
      <c r="A352"/>
    </row>
    <row r="353" spans="1:1" x14ac:dyDescent="0.25">
      <c r="A353"/>
    </row>
    <row r="354" spans="1:1" x14ac:dyDescent="0.25">
      <c r="A354"/>
    </row>
    <row r="355" spans="1:1" x14ac:dyDescent="0.25">
      <c r="A355"/>
    </row>
    <row r="356" spans="1:1" x14ac:dyDescent="0.25">
      <c r="A356"/>
    </row>
    <row r="357" spans="1:1" x14ac:dyDescent="0.25">
      <c r="A357"/>
    </row>
    <row r="358" spans="1:1" x14ac:dyDescent="0.25">
      <c r="A358"/>
    </row>
    <row r="359" spans="1:1" x14ac:dyDescent="0.25">
      <c r="A359"/>
    </row>
    <row r="360" spans="1:1" x14ac:dyDescent="0.25">
      <c r="A36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3"/>
  <sheetViews>
    <sheetView workbookViewId="0">
      <selection activeCell="B1" sqref="B1"/>
    </sheetView>
  </sheetViews>
  <sheetFormatPr defaultRowHeight="15" x14ac:dyDescent="0.25"/>
  <cols>
    <col min="1" max="1" width="24.42578125" style="130" customWidth="1"/>
    <col min="2" max="2" width="16.42578125" bestFit="1" customWidth="1"/>
    <col min="3" max="3" width="24.42578125" style="130" customWidth="1"/>
  </cols>
  <sheetData>
    <row r="1" spans="1:3" x14ac:dyDescent="0.25">
      <c r="A1" s="127" t="s">
        <v>632</v>
      </c>
      <c r="C1" s="127" t="s">
        <v>644</v>
      </c>
    </row>
    <row r="2" spans="1:3" ht="14.45" x14ac:dyDescent="0.3">
      <c r="A2" s="128" t="s">
        <v>220</v>
      </c>
      <c r="C2" s="128" t="s">
        <v>220</v>
      </c>
    </row>
    <row r="3" spans="1:3" ht="14.45" x14ac:dyDescent="0.3">
      <c r="A3" s="129">
        <v>11058302</v>
      </c>
      <c r="C3" s="129">
        <v>12644878</v>
      </c>
    </row>
    <row r="4" spans="1:3" ht="14.45" x14ac:dyDescent="0.3">
      <c r="A4" s="129">
        <v>14960000</v>
      </c>
      <c r="C4" s="128" t="s">
        <v>22</v>
      </c>
    </row>
    <row r="5" spans="1:3" ht="14.45" x14ac:dyDescent="0.3">
      <c r="A5" s="128" t="s">
        <v>22</v>
      </c>
      <c r="C5" s="129">
        <v>2750000</v>
      </c>
    </row>
    <row r="6" spans="1:3" ht="14.45" x14ac:dyDescent="0.3">
      <c r="A6" s="129">
        <v>11980</v>
      </c>
      <c r="C6" s="129">
        <v>144700000</v>
      </c>
    </row>
    <row r="7" spans="1:3" ht="14.45" x14ac:dyDescent="0.3">
      <c r="A7" s="129">
        <v>23960</v>
      </c>
      <c r="C7" s="128" t="s">
        <v>481</v>
      </c>
    </row>
    <row r="8" spans="1:3" ht="14.45" x14ac:dyDescent="0.3">
      <c r="A8" s="129">
        <v>303898</v>
      </c>
      <c r="C8" s="129">
        <v>1679759.67</v>
      </c>
    </row>
    <row r="9" spans="1:3" ht="14.45" x14ac:dyDescent="0.3">
      <c r="A9" s="129">
        <v>750000</v>
      </c>
      <c r="C9" s="129">
        <v>1900000</v>
      </c>
    </row>
    <row r="10" spans="1:3" ht="14.45" x14ac:dyDescent="0.3">
      <c r="A10" s="129">
        <v>1233630</v>
      </c>
      <c r="C10" s="129">
        <v>2130352.36</v>
      </c>
    </row>
    <row r="11" spans="1:3" ht="14.45" x14ac:dyDescent="0.3">
      <c r="A11" s="129">
        <v>1500000</v>
      </c>
      <c r="C11" s="129">
        <v>3180000</v>
      </c>
    </row>
    <row r="12" spans="1:3" ht="14.45" x14ac:dyDescent="0.3">
      <c r="A12" s="129">
        <v>1599321</v>
      </c>
      <c r="C12" s="129">
        <v>3850000</v>
      </c>
    </row>
    <row r="13" spans="1:3" ht="14.45" x14ac:dyDescent="0.3">
      <c r="A13" s="129">
        <v>60000000</v>
      </c>
      <c r="C13" s="129">
        <v>4221436.83</v>
      </c>
    </row>
    <row r="14" spans="1:3" ht="14.45" x14ac:dyDescent="0.3">
      <c r="A14" s="129">
        <v>92160000</v>
      </c>
      <c r="C14" s="129">
        <v>4500000</v>
      </c>
    </row>
    <row r="15" spans="1:3" ht="14.45" x14ac:dyDescent="0.3">
      <c r="A15" s="129" t="s">
        <v>630</v>
      </c>
      <c r="C15" s="129">
        <v>6470000</v>
      </c>
    </row>
    <row r="16" spans="1:3" ht="14.45" x14ac:dyDescent="0.3">
      <c r="A16" s="128" t="s">
        <v>63</v>
      </c>
      <c r="C16" s="129">
        <v>11620000</v>
      </c>
    </row>
    <row r="17" spans="1:3" ht="14.45" x14ac:dyDescent="0.3">
      <c r="A17" s="129">
        <v>148115</v>
      </c>
      <c r="C17" s="129">
        <v>12002470</v>
      </c>
    </row>
    <row r="18" spans="1:3" ht="14.45" x14ac:dyDescent="0.3">
      <c r="A18" s="129">
        <v>524295</v>
      </c>
      <c r="C18" s="129">
        <v>18000000</v>
      </c>
    </row>
    <row r="19" spans="1:3" ht="14.45" x14ac:dyDescent="0.3">
      <c r="A19" s="129">
        <v>2206400</v>
      </c>
      <c r="C19" s="129">
        <v>30000000</v>
      </c>
    </row>
    <row r="20" spans="1:3" ht="14.45" x14ac:dyDescent="0.3">
      <c r="A20" s="128" t="s">
        <v>481</v>
      </c>
      <c r="C20" s="129">
        <v>155000000</v>
      </c>
    </row>
    <row r="21" spans="1:3" ht="14.45" x14ac:dyDescent="0.3">
      <c r="A21" s="129">
        <v>320000</v>
      </c>
      <c r="C21" s="128" t="s">
        <v>292</v>
      </c>
    </row>
    <row r="22" spans="1:3" ht="14.45" x14ac:dyDescent="0.3">
      <c r="A22" s="128" t="s">
        <v>569</v>
      </c>
      <c r="C22" s="129">
        <v>2222500</v>
      </c>
    </row>
    <row r="23" spans="1:3" ht="14.45" x14ac:dyDescent="0.3">
      <c r="A23" s="129">
        <v>608796.63</v>
      </c>
      <c r="C23" s="128" t="s">
        <v>508</v>
      </c>
    </row>
    <row r="24" spans="1:3" ht="14.45" x14ac:dyDescent="0.3">
      <c r="A24" s="129">
        <v>6844060.5899999999</v>
      </c>
      <c r="C24" s="129">
        <v>5850000</v>
      </c>
    </row>
    <row r="25" spans="1:3" ht="14.45" x14ac:dyDescent="0.3">
      <c r="A25" s="128" t="s">
        <v>610</v>
      </c>
      <c r="C25" s="129">
        <v>7150000</v>
      </c>
    </row>
    <row r="26" spans="1:3" x14ac:dyDescent="0.25">
      <c r="A26" s="129">
        <v>20000000</v>
      </c>
      <c r="C26" s="128" t="s">
        <v>514</v>
      </c>
    </row>
    <row r="27" spans="1:3" x14ac:dyDescent="0.25">
      <c r="A27" s="128" t="s">
        <v>552</v>
      </c>
      <c r="C27" s="129">
        <v>13000000</v>
      </c>
    </row>
    <row r="28" spans="1:3" x14ac:dyDescent="0.25">
      <c r="A28" s="129">
        <v>200000</v>
      </c>
      <c r="C28" s="128" t="s">
        <v>365</v>
      </c>
    </row>
    <row r="29" spans="1:3" x14ac:dyDescent="0.25">
      <c r="A29" s="129">
        <v>13400000</v>
      </c>
      <c r="C29" s="129">
        <v>15000000</v>
      </c>
    </row>
    <row r="30" spans="1:3" x14ac:dyDescent="0.25">
      <c r="A30" s="129">
        <v>85000000</v>
      </c>
      <c r="C30" s="128" t="s">
        <v>608</v>
      </c>
    </row>
    <row r="31" spans="1:3" x14ac:dyDescent="0.25">
      <c r="A31" s="128" t="s">
        <v>541</v>
      </c>
      <c r="C31" s="129">
        <v>737490</v>
      </c>
    </row>
    <row r="32" spans="1:3" x14ac:dyDescent="0.25">
      <c r="A32" s="129">
        <v>2504666.6666666665</v>
      </c>
      <c r="C32" s="129">
        <v>1033500</v>
      </c>
    </row>
    <row r="33" spans="1:3" x14ac:dyDescent="0.25">
      <c r="A33" s="128" t="s">
        <v>508</v>
      </c>
      <c r="C33" s="128" t="s">
        <v>303</v>
      </c>
    </row>
    <row r="34" spans="1:3" x14ac:dyDescent="0.25">
      <c r="A34" s="129">
        <v>7150000</v>
      </c>
      <c r="C34" s="129">
        <v>8760000</v>
      </c>
    </row>
    <row r="35" spans="1:3" x14ac:dyDescent="0.25">
      <c r="A35" s="129">
        <v>18200000</v>
      </c>
      <c r="C35" s="129">
        <v>16130000</v>
      </c>
    </row>
    <row r="36" spans="1:3" x14ac:dyDescent="0.25">
      <c r="A36" s="129">
        <v>19500000</v>
      </c>
      <c r="C36" s="129">
        <v>45730000</v>
      </c>
    </row>
    <row r="37" spans="1:3" x14ac:dyDescent="0.25">
      <c r="A37" s="129">
        <v>25350000</v>
      </c>
      <c r="C37" s="129">
        <v>102710000</v>
      </c>
    </row>
    <row r="38" spans="1:3" x14ac:dyDescent="0.25">
      <c r="A38" s="128" t="s">
        <v>499</v>
      </c>
      <c r="C38" s="128" t="s">
        <v>297</v>
      </c>
    </row>
    <row r="39" spans="1:3" x14ac:dyDescent="0.25">
      <c r="A39" s="129">
        <v>5850000</v>
      </c>
      <c r="C39" s="129">
        <v>13000000</v>
      </c>
    </row>
    <row r="40" spans="1:3" x14ac:dyDescent="0.25">
      <c r="A40" s="129">
        <v>13000000</v>
      </c>
      <c r="C40" s="128" t="s">
        <v>391</v>
      </c>
    </row>
    <row r="41" spans="1:3" x14ac:dyDescent="0.25">
      <c r="A41" s="128" t="s">
        <v>514</v>
      </c>
      <c r="C41" s="129">
        <v>9000000</v>
      </c>
    </row>
    <row r="42" spans="1:3" x14ac:dyDescent="0.25">
      <c r="A42" s="129">
        <v>1560000</v>
      </c>
      <c r="C42" s="128" t="s">
        <v>630</v>
      </c>
    </row>
    <row r="43" spans="1:3" x14ac:dyDescent="0.25">
      <c r="A43" s="128" t="s">
        <v>608</v>
      </c>
      <c r="C43" s="129" t="s">
        <v>630</v>
      </c>
    </row>
    <row r="44" spans="1:3" x14ac:dyDescent="0.25">
      <c r="A44" s="129">
        <v>127650</v>
      </c>
      <c r="C44" s="128" t="s">
        <v>645</v>
      </c>
    </row>
    <row r="45" spans="1:3" x14ac:dyDescent="0.25">
      <c r="A45" s="129">
        <v>588460</v>
      </c>
      <c r="C45" s="129">
        <v>180000000</v>
      </c>
    </row>
    <row r="46" spans="1:3" x14ac:dyDescent="0.25">
      <c r="A46" s="129">
        <v>2668488</v>
      </c>
      <c r="C46" s="128" t="s">
        <v>631</v>
      </c>
    </row>
    <row r="47" spans="1:3" x14ac:dyDescent="0.25">
      <c r="A47" s="129" t="s">
        <v>630</v>
      </c>
    </row>
    <row r="48" spans="1:3" x14ac:dyDescent="0.25">
      <c r="A48" s="128" t="s">
        <v>78</v>
      </c>
    </row>
    <row r="49" spans="1:1" x14ac:dyDescent="0.25">
      <c r="A49" s="129">
        <v>1563541.46</v>
      </c>
    </row>
    <row r="50" spans="1:1" x14ac:dyDescent="0.25">
      <c r="A50" s="128" t="s">
        <v>382</v>
      </c>
    </row>
    <row r="51" spans="1:1" x14ac:dyDescent="0.25">
      <c r="A51" s="129">
        <v>218209.51</v>
      </c>
    </row>
    <row r="52" spans="1:1" x14ac:dyDescent="0.25">
      <c r="A52" s="128" t="s">
        <v>281</v>
      </c>
    </row>
    <row r="53" spans="1:1" x14ac:dyDescent="0.25">
      <c r="A53" s="129">
        <v>1534.78</v>
      </c>
    </row>
    <row r="54" spans="1:1" x14ac:dyDescent="0.25">
      <c r="A54" s="129">
        <v>7767.38</v>
      </c>
    </row>
    <row r="55" spans="1:1" x14ac:dyDescent="0.25">
      <c r="A55" s="129">
        <v>14430</v>
      </c>
    </row>
    <row r="56" spans="1:1" x14ac:dyDescent="0.25">
      <c r="A56" s="129">
        <v>15030</v>
      </c>
    </row>
    <row r="57" spans="1:1" x14ac:dyDescent="0.25">
      <c r="A57" s="129">
        <v>15161.68</v>
      </c>
    </row>
    <row r="58" spans="1:1" x14ac:dyDescent="0.25">
      <c r="A58" s="129">
        <v>16000</v>
      </c>
    </row>
    <row r="59" spans="1:1" x14ac:dyDescent="0.25">
      <c r="A59" s="129">
        <v>18390</v>
      </c>
    </row>
    <row r="60" spans="1:1" x14ac:dyDescent="0.25">
      <c r="A60" s="129">
        <v>22890</v>
      </c>
    </row>
    <row r="61" spans="1:1" x14ac:dyDescent="0.25">
      <c r="A61" s="129">
        <v>22929.07</v>
      </c>
    </row>
    <row r="62" spans="1:1" x14ac:dyDescent="0.25">
      <c r="A62" s="129">
        <v>24000</v>
      </c>
    </row>
    <row r="63" spans="1:1" x14ac:dyDescent="0.25">
      <c r="A63" s="129">
        <v>24060</v>
      </c>
    </row>
    <row r="64" spans="1:1" x14ac:dyDescent="0.25">
      <c r="A64" s="129">
        <v>27000</v>
      </c>
    </row>
    <row r="65" spans="1:1" x14ac:dyDescent="0.25">
      <c r="A65" s="129">
        <v>29790</v>
      </c>
    </row>
    <row r="66" spans="1:1" x14ac:dyDescent="0.25">
      <c r="A66" s="129">
        <v>30000</v>
      </c>
    </row>
    <row r="67" spans="1:1" x14ac:dyDescent="0.25">
      <c r="A67" s="129">
        <v>31890</v>
      </c>
    </row>
    <row r="68" spans="1:1" x14ac:dyDescent="0.25">
      <c r="A68" s="129">
        <v>32000</v>
      </c>
    </row>
    <row r="69" spans="1:1" x14ac:dyDescent="0.25">
      <c r="A69" s="129">
        <v>33612.1</v>
      </c>
    </row>
    <row r="70" spans="1:1" x14ac:dyDescent="0.25">
      <c r="A70" s="129">
        <v>33930</v>
      </c>
    </row>
    <row r="71" spans="1:1" x14ac:dyDescent="0.25">
      <c r="A71" s="129">
        <v>37950</v>
      </c>
    </row>
    <row r="72" spans="1:1" x14ac:dyDescent="0.25">
      <c r="A72" s="129">
        <v>40020</v>
      </c>
    </row>
    <row r="73" spans="1:1" x14ac:dyDescent="0.25">
      <c r="A73" s="129">
        <v>40680</v>
      </c>
    </row>
    <row r="74" spans="1:1" x14ac:dyDescent="0.25">
      <c r="A74" s="129">
        <v>40770</v>
      </c>
    </row>
    <row r="75" spans="1:1" x14ac:dyDescent="0.25">
      <c r="A75" s="129">
        <v>44970</v>
      </c>
    </row>
    <row r="76" spans="1:1" x14ac:dyDescent="0.25">
      <c r="A76" s="129">
        <v>47010</v>
      </c>
    </row>
    <row r="77" spans="1:1" x14ac:dyDescent="0.25">
      <c r="A77" s="129">
        <v>47058.879999999997</v>
      </c>
    </row>
    <row r="78" spans="1:1" x14ac:dyDescent="0.25">
      <c r="A78" s="129">
        <v>47220</v>
      </c>
    </row>
    <row r="79" spans="1:1" x14ac:dyDescent="0.25">
      <c r="A79" s="129">
        <v>48773.760000000002</v>
      </c>
    </row>
    <row r="80" spans="1:1" x14ac:dyDescent="0.25">
      <c r="A80" s="129">
        <v>58720</v>
      </c>
    </row>
    <row r="81" spans="1:1" x14ac:dyDescent="0.25">
      <c r="A81" s="129">
        <v>75540</v>
      </c>
    </row>
    <row r="82" spans="1:1" x14ac:dyDescent="0.25">
      <c r="A82" s="129">
        <v>80000</v>
      </c>
    </row>
    <row r="83" spans="1:1" x14ac:dyDescent="0.25">
      <c r="A83" s="129">
        <v>81150</v>
      </c>
    </row>
    <row r="84" spans="1:1" x14ac:dyDescent="0.25">
      <c r="A84" s="129">
        <v>83490</v>
      </c>
    </row>
    <row r="85" spans="1:1" x14ac:dyDescent="0.25">
      <c r="A85" s="129">
        <v>83730</v>
      </c>
    </row>
    <row r="86" spans="1:1" x14ac:dyDescent="0.25">
      <c r="A86" s="129">
        <v>83970</v>
      </c>
    </row>
    <row r="87" spans="1:1" x14ac:dyDescent="0.25">
      <c r="A87" s="129">
        <v>84210</v>
      </c>
    </row>
    <row r="88" spans="1:1" x14ac:dyDescent="0.25">
      <c r="A88" s="129">
        <v>84390</v>
      </c>
    </row>
    <row r="89" spans="1:1" x14ac:dyDescent="0.25">
      <c r="A89" s="129">
        <v>85800</v>
      </c>
    </row>
    <row r="90" spans="1:1" x14ac:dyDescent="0.25">
      <c r="A90" s="129">
        <v>86010</v>
      </c>
    </row>
    <row r="91" spans="1:1" x14ac:dyDescent="0.25">
      <c r="A91" s="129">
        <v>89160</v>
      </c>
    </row>
    <row r="92" spans="1:1" x14ac:dyDescent="0.25">
      <c r="A92" s="129">
        <v>91830</v>
      </c>
    </row>
    <row r="93" spans="1:1" x14ac:dyDescent="0.25">
      <c r="A93" s="129">
        <v>92160</v>
      </c>
    </row>
    <row r="94" spans="1:1" x14ac:dyDescent="0.25">
      <c r="A94" s="129">
        <v>94890</v>
      </c>
    </row>
    <row r="95" spans="1:1" x14ac:dyDescent="0.25">
      <c r="A95" s="129">
        <v>96270</v>
      </c>
    </row>
    <row r="96" spans="1:1" x14ac:dyDescent="0.25">
      <c r="A96" s="129">
        <v>100320</v>
      </c>
    </row>
    <row r="97" spans="1:1" x14ac:dyDescent="0.25">
      <c r="A97" s="129">
        <v>100620</v>
      </c>
    </row>
    <row r="98" spans="1:1" x14ac:dyDescent="0.25">
      <c r="A98" s="129">
        <v>102210</v>
      </c>
    </row>
    <row r="99" spans="1:1" x14ac:dyDescent="0.25">
      <c r="A99" s="129">
        <v>102390</v>
      </c>
    </row>
    <row r="100" spans="1:1" x14ac:dyDescent="0.25">
      <c r="A100" s="129">
        <v>103170</v>
      </c>
    </row>
    <row r="101" spans="1:1" x14ac:dyDescent="0.25">
      <c r="A101" s="129">
        <v>104010</v>
      </c>
    </row>
    <row r="102" spans="1:1" x14ac:dyDescent="0.25">
      <c r="A102" s="129">
        <v>109770</v>
      </c>
    </row>
    <row r="103" spans="1:1" x14ac:dyDescent="0.25">
      <c r="A103" s="129">
        <v>115170</v>
      </c>
    </row>
    <row r="104" spans="1:1" x14ac:dyDescent="0.25">
      <c r="A104" s="129">
        <v>124980</v>
      </c>
    </row>
    <row r="105" spans="1:1" x14ac:dyDescent="0.25">
      <c r="A105" s="129">
        <v>125130</v>
      </c>
    </row>
    <row r="106" spans="1:1" x14ac:dyDescent="0.25">
      <c r="A106" s="129">
        <v>132870</v>
      </c>
    </row>
    <row r="107" spans="1:1" x14ac:dyDescent="0.25">
      <c r="A107" s="129">
        <v>133230</v>
      </c>
    </row>
    <row r="108" spans="1:1" x14ac:dyDescent="0.25">
      <c r="A108" s="129">
        <v>136440</v>
      </c>
    </row>
    <row r="109" spans="1:1" x14ac:dyDescent="0.25">
      <c r="A109" s="129">
        <v>138120</v>
      </c>
    </row>
    <row r="110" spans="1:1" x14ac:dyDescent="0.25">
      <c r="A110" s="129">
        <v>141510</v>
      </c>
    </row>
    <row r="111" spans="1:1" x14ac:dyDescent="0.25">
      <c r="A111" s="129">
        <v>144600</v>
      </c>
    </row>
    <row r="112" spans="1:1" x14ac:dyDescent="0.25">
      <c r="A112" s="129">
        <v>146250</v>
      </c>
    </row>
    <row r="113" spans="1:1" x14ac:dyDescent="0.25">
      <c r="A113" s="129">
        <v>148650</v>
      </c>
    </row>
    <row r="114" spans="1:1" x14ac:dyDescent="0.25">
      <c r="A114" s="129">
        <v>157200</v>
      </c>
    </row>
    <row r="115" spans="1:1" x14ac:dyDescent="0.25">
      <c r="A115" s="129">
        <v>157410</v>
      </c>
    </row>
    <row r="116" spans="1:1" x14ac:dyDescent="0.25">
      <c r="A116" s="129">
        <v>157830</v>
      </c>
    </row>
    <row r="117" spans="1:1" x14ac:dyDescent="0.25">
      <c r="A117" s="129">
        <v>160680</v>
      </c>
    </row>
    <row r="118" spans="1:1" x14ac:dyDescent="0.25">
      <c r="A118" s="129">
        <v>184200</v>
      </c>
    </row>
    <row r="119" spans="1:1" x14ac:dyDescent="0.25">
      <c r="A119" s="129">
        <v>186210</v>
      </c>
    </row>
    <row r="120" spans="1:1" x14ac:dyDescent="0.25">
      <c r="A120" s="129">
        <v>192840</v>
      </c>
    </row>
    <row r="121" spans="1:1" x14ac:dyDescent="0.25">
      <c r="A121" s="129">
        <v>203010</v>
      </c>
    </row>
    <row r="122" spans="1:1" x14ac:dyDescent="0.25">
      <c r="A122" s="129">
        <v>210240</v>
      </c>
    </row>
    <row r="123" spans="1:1" x14ac:dyDescent="0.25">
      <c r="A123" s="129">
        <v>212130</v>
      </c>
    </row>
    <row r="124" spans="1:1" x14ac:dyDescent="0.25">
      <c r="A124" s="129">
        <v>243570</v>
      </c>
    </row>
    <row r="125" spans="1:1" x14ac:dyDescent="0.25">
      <c r="A125" s="129">
        <v>245160</v>
      </c>
    </row>
    <row r="126" spans="1:1" x14ac:dyDescent="0.25">
      <c r="A126" s="129">
        <v>248670</v>
      </c>
    </row>
    <row r="127" spans="1:1" x14ac:dyDescent="0.25">
      <c r="A127" s="129">
        <v>260010</v>
      </c>
    </row>
    <row r="128" spans="1:1" x14ac:dyDescent="0.25">
      <c r="A128" s="129">
        <v>278490</v>
      </c>
    </row>
    <row r="129" spans="1:1" x14ac:dyDescent="0.25">
      <c r="A129" s="129">
        <v>288540</v>
      </c>
    </row>
    <row r="130" spans="1:1" x14ac:dyDescent="0.25">
      <c r="A130" s="129">
        <v>297870</v>
      </c>
    </row>
    <row r="131" spans="1:1" x14ac:dyDescent="0.25">
      <c r="A131" s="129">
        <v>303810</v>
      </c>
    </row>
    <row r="132" spans="1:1" x14ac:dyDescent="0.25">
      <c r="A132" s="129">
        <v>309420</v>
      </c>
    </row>
    <row r="133" spans="1:1" x14ac:dyDescent="0.25">
      <c r="A133" s="129">
        <v>356220</v>
      </c>
    </row>
    <row r="134" spans="1:1" x14ac:dyDescent="0.25">
      <c r="A134" s="129">
        <v>374820</v>
      </c>
    </row>
    <row r="135" spans="1:1" x14ac:dyDescent="0.25">
      <c r="A135" s="129">
        <v>377610</v>
      </c>
    </row>
    <row r="136" spans="1:1" x14ac:dyDescent="0.25">
      <c r="A136" s="129">
        <v>418950</v>
      </c>
    </row>
    <row r="137" spans="1:1" x14ac:dyDescent="0.25">
      <c r="A137" s="129">
        <v>467130</v>
      </c>
    </row>
    <row r="138" spans="1:1" x14ac:dyDescent="0.25">
      <c r="A138" s="129">
        <v>475680</v>
      </c>
    </row>
    <row r="139" spans="1:1" x14ac:dyDescent="0.25">
      <c r="A139" s="129">
        <v>3000000</v>
      </c>
    </row>
    <row r="140" spans="1:1" x14ac:dyDescent="0.25">
      <c r="A140" s="128" t="s">
        <v>607</v>
      </c>
    </row>
    <row r="141" spans="1:1" x14ac:dyDescent="0.25">
      <c r="A141" s="129">
        <v>48800</v>
      </c>
    </row>
    <row r="142" spans="1:1" x14ac:dyDescent="0.25">
      <c r="A142" s="128" t="s">
        <v>518</v>
      </c>
    </row>
    <row r="143" spans="1:1" x14ac:dyDescent="0.25">
      <c r="A143" s="129">
        <v>22100000</v>
      </c>
    </row>
    <row r="144" spans="1:1" x14ac:dyDescent="0.25">
      <c r="A144" s="128" t="s">
        <v>410</v>
      </c>
    </row>
    <row r="145" spans="1:1" x14ac:dyDescent="0.25">
      <c r="A145" s="129">
        <v>2000000</v>
      </c>
    </row>
    <row r="146" spans="1:1" x14ac:dyDescent="0.25">
      <c r="A146" s="129">
        <v>3200000</v>
      </c>
    </row>
    <row r="147" spans="1:1" x14ac:dyDescent="0.25">
      <c r="A147" s="128" t="s">
        <v>486</v>
      </c>
    </row>
    <row r="148" spans="1:1" x14ac:dyDescent="0.25">
      <c r="A148" s="129">
        <v>101882</v>
      </c>
    </row>
    <row r="149" spans="1:1" x14ac:dyDescent="0.25">
      <c r="A149" s="129">
        <v>13200000</v>
      </c>
    </row>
    <row r="150" spans="1:1" x14ac:dyDescent="0.25">
      <c r="A150" s="128" t="s">
        <v>448</v>
      </c>
    </row>
    <row r="151" spans="1:1" x14ac:dyDescent="0.25">
      <c r="A151" s="129">
        <v>2403282.5499999998</v>
      </c>
    </row>
    <row r="152" spans="1:1" x14ac:dyDescent="0.25">
      <c r="A152" s="129">
        <v>5195960.07</v>
      </c>
    </row>
    <row r="153" spans="1:1" x14ac:dyDescent="0.25">
      <c r="A153" s="129">
        <v>5290957</v>
      </c>
    </row>
    <row r="154" spans="1:1" x14ac:dyDescent="0.25">
      <c r="A154" s="129">
        <v>6148790.9400000004</v>
      </c>
    </row>
    <row r="155" spans="1:1" x14ac:dyDescent="0.25">
      <c r="A155" s="129">
        <v>8063651.9199999999</v>
      </c>
    </row>
    <row r="156" spans="1:1" x14ac:dyDescent="0.25">
      <c r="A156" s="128" t="s">
        <v>615</v>
      </c>
    </row>
    <row r="157" spans="1:1" x14ac:dyDescent="0.25">
      <c r="A157" s="129">
        <v>2354545</v>
      </c>
    </row>
    <row r="158" spans="1:1" x14ac:dyDescent="0.25">
      <c r="A158" s="128" t="s">
        <v>616</v>
      </c>
    </row>
    <row r="159" spans="1:1" x14ac:dyDescent="0.25">
      <c r="A159" s="129">
        <v>900000</v>
      </c>
    </row>
    <row r="160" spans="1:1" x14ac:dyDescent="0.25">
      <c r="A160" s="128" t="s">
        <v>463</v>
      </c>
    </row>
    <row r="161" spans="1:1" x14ac:dyDescent="0.25">
      <c r="A161" s="129">
        <v>300000</v>
      </c>
    </row>
    <row r="162" spans="1:1" x14ac:dyDescent="0.25">
      <c r="A162" s="129">
        <v>1500000</v>
      </c>
    </row>
    <row r="163" spans="1:1" x14ac:dyDescent="0.25">
      <c r="A163" s="128" t="s">
        <v>618</v>
      </c>
    </row>
    <row r="164" spans="1:1" x14ac:dyDescent="0.25">
      <c r="A164" s="129">
        <v>500000</v>
      </c>
    </row>
    <row r="165" spans="1:1" x14ac:dyDescent="0.25">
      <c r="A165" s="128" t="s">
        <v>359</v>
      </c>
    </row>
    <row r="166" spans="1:1" x14ac:dyDescent="0.25">
      <c r="A166" s="129">
        <v>1500000</v>
      </c>
    </row>
    <row r="167" spans="1:1" x14ac:dyDescent="0.25">
      <c r="A167" s="129">
        <v>47190000</v>
      </c>
    </row>
    <row r="168" spans="1:1" x14ac:dyDescent="0.25">
      <c r="A168" s="128" t="s">
        <v>613</v>
      </c>
    </row>
    <row r="169" spans="1:1" x14ac:dyDescent="0.25">
      <c r="A169" s="129">
        <v>85000</v>
      </c>
    </row>
    <row r="170" spans="1:1" x14ac:dyDescent="0.25">
      <c r="A170" s="128" t="s">
        <v>391</v>
      </c>
    </row>
    <row r="171" spans="1:1" x14ac:dyDescent="0.25">
      <c r="A171" s="129">
        <v>200000</v>
      </c>
    </row>
    <row r="172" spans="1:1" x14ac:dyDescent="0.25">
      <c r="A172" s="129">
        <v>400000</v>
      </c>
    </row>
    <row r="173" spans="1:1" x14ac:dyDescent="0.25">
      <c r="A173" s="129">
        <v>1500000</v>
      </c>
    </row>
    <row r="174" spans="1:1" x14ac:dyDescent="0.25">
      <c r="A174" s="129">
        <v>2497017.44</v>
      </c>
    </row>
    <row r="175" spans="1:1" x14ac:dyDescent="0.25">
      <c r="A175" s="129">
        <v>3000000</v>
      </c>
    </row>
    <row r="176" spans="1:1" x14ac:dyDescent="0.25">
      <c r="A176" s="129">
        <v>7490000</v>
      </c>
    </row>
    <row r="177" spans="1:1" x14ac:dyDescent="0.25">
      <c r="A177" s="128" t="s">
        <v>107</v>
      </c>
    </row>
    <row r="178" spans="1:1" x14ac:dyDescent="0.25">
      <c r="A178" s="129">
        <v>6362.92</v>
      </c>
    </row>
    <row r="179" spans="1:1" x14ac:dyDescent="0.25">
      <c r="A179" s="129">
        <v>15727.63</v>
      </c>
    </row>
    <row r="180" spans="1:1" x14ac:dyDescent="0.25">
      <c r="A180" s="129">
        <v>15727.64</v>
      </c>
    </row>
    <row r="181" spans="1:1" x14ac:dyDescent="0.25">
      <c r="A181" s="129">
        <v>27531.75</v>
      </c>
    </row>
    <row r="182" spans="1:1" x14ac:dyDescent="0.25">
      <c r="A182" s="129">
        <v>30814.98</v>
      </c>
    </row>
    <row r="183" spans="1:1" x14ac:dyDescent="0.25">
      <c r="A183" s="129">
        <v>45902.400000000001</v>
      </c>
    </row>
    <row r="184" spans="1:1" x14ac:dyDescent="0.25">
      <c r="A184" s="129">
        <v>57706.46</v>
      </c>
    </row>
    <row r="185" spans="1:1" x14ac:dyDescent="0.25">
      <c r="A185" s="129">
        <v>59471.75</v>
      </c>
    </row>
    <row r="186" spans="1:1" x14ac:dyDescent="0.25">
      <c r="A186" s="129">
        <v>59471.77</v>
      </c>
    </row>
    <row r="187" spans="1:1" x14ac:dyDescent="0.25">
      <c r="A187" s="129">
        <v>80597.09</v>
      </c>
    </row>
    <row r="188" spans="1:1" x14ac:dyDescent="0.25">
      <c r="A188" s="129">
        <v>102609.72</v>
      </c>
    </row>
    <row r="189" spans="1:1" x14ac:dyDescent="0.25">
      <c r="A189" s="129">
        <v>1221339.1399999999</v>
      </c>
    </row>
    <row r="190" spans="1:1" x14ac:dyDescent="0.25">
      <c r="A190" s="128" t="s">
        <v>630</v>
      </c>
    </row>
    <row r="191" spans="1:1" x14ac:dyDescent="0.25">
      <c r="A191" s="129" t="s">
        <v>630</v>
      </c>
    </row>
    <row r="192" spans="1:1" x14ac:dyDescent="0.25">
      <c r="A192" s="128" t="s">
        <v>631</v>
      </c>
    </row>
    <row r="193" spans="1:1" x14ac:dyDescent="0.25">
      <c r="A193" s="130">
        <f>SUM(A3:A184)</f>
        <v>562626762.20666671</v>
      </c>
    </row>
  </sheetData>
  <dataConsolidate>
    <dataRefs count="2">
      <dataRef ref="A3:A4" sheet="Montos por cooperacion"/>
      <dataRef name="AECID"/>
    </dataRefs>
  </dataConsolid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4"/>
  <sheetViews>
    <sheetView workbookViewId="0"/>
  </sheetViews>
  <sheetFormatPr defaultRowHeight="15" x14ac:dyDescent="0.25"/>
  <cols>
    <col min="1" max="1" width="22.5703125" style="130" bestFit="1" customWidth="1"/>
    <col min="2" max="2" width="16.28515625" customWidth="1"/>
    <col min="3" max="3" width="22.5703125" style="130" customWidth="1"/>
    <col min="4" max="4" width="8" customWidth="1"/>
    <col min="5" max="7" width="6" customWidth="1"/>
    <col min="8" max="10" width="9" customWidth="1"/>
    <col min="11" max="13" width="6" customWidth="1"/>
    <col min="14" max="14" width="9" customWidth="1"/>
    <col min="15" max="18" width="6" customWidth="1"/>
    <col min="19" max="19" width="9" customWidth="1"/>
    <col min="20" max="21" width="6" customWidth="1"/>
    <col min="22" max="22" width="9" customWidth="1"/>
    <col min="23" max="24" width="6" customWidth="1"/>
    <col min="25" max="25" width="8" customWidth="1"/>
    <col min="26" max="31" width="6" customWidth="1"/>
    <col min="32" max="32" width="8" customWidth="1"/>
    <col min="33" max="33" width="6" customWidth="1"/>
    <col min="34" max="34" width="9" customWidth="1"/>
    <col min="35" max="35" width="6" customWidth="1"/>
    <col min="36" max="37" width="9" customWidth="1"/>
    <col min="38" max="38" width="6" customWidth="1"/>
    <col min="39" max="40" width="9" customWidth="1"/>
    <col min="41" max="42" width="6" customWidth="1"/>
    <col min="43" max="43" width="9" customWidth="1"/>
    <col min="44" max="57" width="6" customWidth="1"/>
    <col min="58" max="62" width="7" customWidth="1"/>
    <col min="63" max="63" width="10" customWidth="1"/>
    <col min="64" max="107" width="7" customWidth="1"/>
    <col min="108" max="108" width="10" customWidth="1"/>
    <col min="109" max="111" width="7" customWidth="1"/>
    <col min="112" max="112" width="11" customWidth="1"/>
    <col min="113" max="114" width="8" customWidth="1"/>
    <col min="115" max="115" width="11" customWidth="1"/>
    <col min="116" max="116" width="8" customWidth="1"/>
    <col min="117" max="117" width="11" customWidth="1"/>
    <col min="118" max="118" width="8" customWidth="1"/>
    <col min="119" max="119" width="11" customWidth="1"/>
    <col min="120" max="121" width="8" customWidth="1"/>
    <col min="122" max="123" width="11" customWidth="1"/>
    <col min="124" max="124" width="12" bestFit="1" customWidth="1"/>
    <col min="125" max="128" width="8" customWidth="1"/>
    <col min="129" max="129" width="11" customWidth="1"/>
    <col min="130" max="130" width="8" customWidth="1"/>
    <col min="131" max="131" width="11" customWidth="1"/>
    <col min="132" max="132" width="8" customWidth="1"/>
    <col min="133" max="133" width="11" customWidth="1"/>
    <col min="134" max="134" width="8" customWidth="1"/>
    <col min="135" max="136" width="11" customWidth="1"/>
    <col min="137" max="138" width="8" customWidth="1"/>
    <col min="139" max="139" width="11" customWidth="1"/>
    <col min="140" max="140" width="8" customWidth="1"/>
    <col min="141" max="155" width="9" customWidth="1"/>
    <col min="156" max="158" width="10" customWidth="1"/>
    <col min="159" max="159" width="1.7109375" customWidth="1"/>
    <col min="160" max="160" width="9.5703125" customWidth="1"/>
    <col min="161" max="161" width="17.42578125" bestFit="1" customWidth="1"/>
    <col min="162" max="162" width="7.28515625" customWidth="1"/>
    <col min="163" max="163" width="11.28515625" bestFit="1" customWidth="1"/>
    <col min="164" max="168" width="10" bestFit="1" customWidth="1"/>
    <col min="169" max="169" width="6.85546875" customWidth="1"/>
    <col min="171" max="171" width="12.140625" bestFit="1" customWidth="1"/>
    <col min="172" max="172" width="11.28515625" bestFit="1" customWidth="1"/>
  </cols>
  <sheetData>
    <row r="1" spans="1:3" ht="14.45" x14ac:dyDescent="0.3">
      <c r="A1" s="127" t="s">
        <v>629</v>
      </c>
      <c r="C1" s="127" t="s">
        <v>629</v>
      </c>
    </row>
    <row r="2" spans="1:3" ht="14.45" x14ac:dyDescent="0.3">
      <c r="A2" s="128" t="s">
        <v>636</v>
      </c>
      <c r="C2" s="128" t="s">
        <v>636</v>
      </c>
    </row>
    <row r="3" spans="1:3" ht="14.45" x14ac:dyDescent="0.3">
      <c r="A3" s="129">
        <v>1534.78</v>
      </c>
      <c r="C3" s="137">
        <v>737490</v>
      </c>
    </row>
    <row r="4" spans="1:3" ht="14.45" x14ac:dyDescent="0.3">
      <c r="A4" s="129">
        <v>6362.92</v>
      </c>
      <c r="C4" s="137">
        <v>1033500</v>
      </c>
    </row>
    <row r="5" spans="1:3" ht="14.45" x14ac:dyDescent="0.3">
      <c r="A5" s="129">
        <v>7767.38</v>
      </c>
      <c r="C5" s="137">
        <v>1900000</v>
      </c>
    </row>
    <row r="6" spans="1:3" ht="14.45" x14ac:dyDescent="0.3">
      <c r="A6" s="129">
        <v>11980</v>
      </c>
      <c r="C6" s="137">
        <v>2750000</v>
      </c>
    </row>
    <row r="7" spans="1:3" ht="14.45" x14ac:dyDescent="0.3">
      <c r="A7" s="129">
        <v>14430</v>
      </c>
      <c r="C7" s="137">
        <v>7150000</v>
      </c>
    </row>
    <row r="8" spans="1:3" ht="14.45" x14ac:dyDescent="0.3">
      <c r="A8" s="129">
        <v>15030</v>
      </c>
      <c r="C8" s="137">
        <v>9000000</v>
      </c>
    </row>
    <row r="9" spans="1:3" ht="14.45" x14ac:dyDescent="0.3">
      <c r="A9" s="129">
        <v>15161.68</v>
      </c>
      <c r="C9" s="137">
        <v>13000000</v>
      </c>
    </row>
    <row r="10" spans="1:3" ht="14.45" x14ac:dyDescent="0.3">
      <c r="A10" s="129">
        <v>15727.63</v>
      </c>
      <c r="C10" s="137">
        <v>30000000</v>
      </c>
    </row>
    <row r="11" spans="1:3" ht="14.45" x14ac:dyDescent="0.3">
      <c r="A11" s="129">
        <v>15727.64</v>
      </c>
      <c r="C11" s="137" t="s">
        <v>630</v>
      </c>
    </row>
    <row r="12" spans="1:3" ht="14.45" x14ac:dyDescent="0.3">
      <c r="A12" s="129">
        <v>18390</v>
      </c>
      <c r="C12" s="128" t="s">
        <v>637</v>
      </c>
    </row>
    <row r="13" spans="1:3" ht="14.45" x14ac:dyDescent="0.3">
      <c r="A13" s="129">
        <v>22890</v>
      </c>
      <c r="C13" s="137">
        <v>3180000</v>
      </c>
    </row>
    <row r="14" spans="1:3" ht="14.45" x14ac:dyDescent="0.3">
      <c r="A14" s="129">
        <v>22929.07</v>
      </c>
      <c r="C14" s="129" t="s">
        <v>630</v>
      </c>
    </row>
    <row r="15" spans="1:3" ht="14.45" x14ac:dyDescent="0.3">
      <c r="A15" s="129">
        <v>23960</v>
      </c>
      <c r="C15" s="128" t="s">
        <v>638</v>
      </c>
    </row>
    <row r="16" spans="1:3" ht="14.45" x14ac:dyDescent="0.3">
      <c r="A16" s="129">
        <v>24060</v>
      </c>
      <c r="C16" s="137">
        <v>5850000</v>
      </c>
    </row>
    <row r="17" spans="1:3" ht="14.45" x14ac:dyDescent="0.3">
      <c r="A17" s="129">
        <v>27000</v>
      </c>
      <c r="C17" s="137">
        <v>6470000</v>
      </c>
    </row>
    <row r="18" spans="1:3" ht="14.45" x14ac:dyDescent="0.3">
      <c r="A18" s="129">
        <v>27531.75</v>
      </c>
      <c r="C18" s="137">
        <v>180000000</v>
      </c>
    </row>
    <row r="19" spans="1:3" ht="14.45" x14ac:dyDescent="0.3">
      <c r="A19" s="129">
        <v>29790</v>
      </c>
      <c r="C19" s="129" t="s">
        <v>630</v>
      </c>
    </row>
    <row r="20" spans="1:3" ht="14.45" x14ac:dyDescent="0.3">
      <c r="A20" s="129">
        <v>30000</v>
      </c>
      <c r="C20" s="128" t="s">
        <v>639</v>
      </c>
    </row>
    <row r="21" spans="1:3" ht="14.45" x14ac:dyDescent="0.3">
      <c r="A21" s="129">
        <v>30814.98</v>
      </c>
      <c r="C21" s="137">
        <v>1679759.67</v>
      </c>
    </row>
    <row r="22" spans="1:3" ht="14.45" x14ac:dyDescent="0.3">
      <c r="A22" s="129">
        <v>31890</v>
      </c>
      <c r="C22" s="137">
        <v>2130352.36</v>
      </c>
    </row>
    <row r="23" spans="1:3" ht="14.45" x14ac:dyDescent="0.3">
      <c r="A23" s="129">
        <v>33612.1</v>
      </c>
      <c r="C23" s="137">
        <v>2222500</v>
      </c>
    </row>
    <row r="24" spans="1:3" ht="14.45" x14ac:dyDescent="0.3">
      <c r="A24" s="129">
        <v>33930</v>
      </c>
      <c r="C24" s="137">
        <v>3850000</v>
      </c>
    </row>
    <row r="25" spans="1:3" ht="14.45" x14ac:dyDescent="0.3">
      <c r="A25" s="129">
        <v>37950</v>
      </c>
      <c r="C25" s="137">
        <v>4221436.83</v>
      </c>
    </row>
    <row r="26" spans="1:3" ht="14.45" x14ac:dyDescent="0.3">
      <c r="A26" s="129">
        <v>40020</v>
      </c>
      <c r="C26" s="137">
        <v>4500000</v>
      </c>
    </row>
    <row r="27" spans="1:3" x14ac:dyDescent="0.25">
      <c r="A27" s="129">
        <v>40680</v>
      </c>
      <c r="C27" s="137">
        <v>8760000</v>
      </c>
    </row>
    <row r="28" spans="1:3" x14ac:dyDescent="0.25">
      <c r="A28" s="129">
        <v>40770</v>
      </c>
      <c r="C28" s="137">
        <v>11620000</v>
      </c>
    </row>
    <row r="29" spans="1:3" x14ac:dyDescent="0.25">
      <c r="A29" s="129">
        <v>44970</v>
      </c>
      <c r="C29" s="137">
        <v>12002470</v>
      </c>
    </row>
    <row r="30" spans="1:3" x14ac:dyDescent="0.25">
      <c r="A30" s="129">
        <v>45902.400000000001</v>
      </c>
      <c r="C30" s="137">
        <v>12644878</v>
      </c>
    </row>
    <row r="31" spans="1:3" x14ac:dyDescent="0.25">
      <c r="A31" s="129">
        <v>47010</v>
      </c>
      <c r="C31" s="137">
        <v>13000000</v>
      </c>
    </row>
    <row r="32" spans="1:3" x14ac:dyDescent="0.25">
      <c r="A32" s="129">
        <v>47220</v>
      </c>
      <c r="C32" s="137">
        <v>16130000</v>
      </c>
    </row>
    <row r="33" spans="1:3" x14ac:dyDescent="0.25">
      <c r="A33" s="129">
        <v>48773.760000000002</v>
      </c>
      <c r="C33" s="137">
        <v>45730000</v>
      </c>
    </row>
    <row r="34" spans="1:3" x14ac:dyDescent="0.25">
      <c r="A34" s="129">
        <v>48800</v>
      </c>
      <c r="C34" s="137">
        <v>102710000</v>
      </c>
    </row>
    <row r="35" spans="1:3" x14ac:dyDescent="0.25">
      <c r="A35" s="129">
        <v>57706.46</v>
      </c>
      <c r="C35" s="137">
        <v>144700000</v>
      </c>
    </row>
    <row r="36" spans="1:3" x14ac:dyDescent="0.25">
      <c r="A36" s="129">
        <v>59471.75</v>
      </c>
      <c r="C36" s="137">
        <v>155000000</v>
      </c>
    </row>
    <row r="37" spans="1:3" x14ac:dyDescent="0.25">
      <c r="A37" s="129">
        <v>59471.77</v>
      </c>
      <c r="C37" s="129" t="s">
        <v>630</v>
      </c>
    </row>
    <row r="38" spans="1:3" x14ac:dyDescent="0.25">
      <c r="A38" s="129">
        <v>75540</v>
      </c>
      <c r="C38" s="128" t="s">
        <v>640</v>
      </c>
    </row>
    <row r="39" spans="1:3" x14ac:dyDescent="0.25">
      <c r="A39" s="129">
        <v>80597.09</v>
      </c>
      <c r="C39" s="137">
        <v>18000000</v>
      </c>
    </row>
    <row r="40" spans="1:3" x14ac:dyDescent="0.25">
      <c r="A40" s="129">
        <v>81150</v>
      </c>
      <c r="C40" s="129" t="s">
        <v>630</v>
      </c>
    </row>
    <row r="41" spans="1:3" x14ac:dyDescent="0.25">
      <c r="A41" s="129">
        <v>83490</v>
      </c>
      <c r="C41" s="128" t="s">
        <v>641</v>
      </c>
    </row>
    <row r="42" spans="1:3" x14ac:dyDescent="0.25">
      <c r="A42" s="129">
        <v>83730</v>
      </c>
      <c r="C42" s="137">
        <v>15000000</v>
      </c>
    </row>
    <row r="43" spans="1:3" x14ac:dyDescent="0.25">
      <c r="A43" s="129">
        <v>83970</v>
      </c>
      <c r="C43" s="129" t="s">
        <v>630</v>
      </c>
    </row>
    <row r="44" spans="1:3" x14ac:dyDescent="0.25">
      <c r="A44" s="129">
        <v>84210</v>
      </c>
      <c r="C44" s="128" t="s">
        <v>630</v>
      </c>
    </row>
    <row r="45" spans="1:3" x14ac:dyDescent="0.25">
      <c r="A45" s="129">
        <v>84390</v>
      </c>
      <c r="C45" s="129" t="s">
        <v>630</v>
      </c>
    </row>
    <row r="46" spans="1:3" x14ac:dyDescent="0.25">
      <c r="A46" s="129">
        <v>85000</v>
      </c>
      <c r="C46" s="128" t="s">
        <v>631</v>
      </c>
    </row>
    <row r="47" spans="1:3" x14ac:dyDescent="0.25">
      <c r="A47" s="129">
        <v>85800</v>
      </c>
      <c r="C47" s="130">
        <f>SUM(C3:C46)</f>
        <v>834972386.8599999</v>
      </c>
    </row>
    <row r="48" spans="1:3" x14ac:dyDescent="0.25">
      <c r="A48" s="129">
        <v>86010</v>
      </c>
    </row>
    <row r="49" spans="1:1" x14ac:dyDescent="0.25">
      <c r="A49" s="129">
        <v>89160</v>
      </c>
    </row>
    <row r="50" spans="1:1" x14ac:dyDescent="0.25">
      <c r="A50" s="129">
        <v>91830</v>
      </c>
    </row>
    <row r="51" spans="1:1" x14ac:dyDescent="0.25">
      <c r="A51" s="129">
        <v>92160</v>
      </c>
    </row>
    <row r="52" spans="1:1" x14ac:dyDescent="0.25">
      <c r="A52" s="129">
        <v>94890</v>
      </c>
    </row>
    <row r="53" spans="1:1" x14ac:dyDescent="0.25">
      <c r="A53" s="129">
        <v>96270</v>
      </c>
    </row>
    <row r="54" spans="1:1" x14ac:dyDescent="0.25">
      <c r="A54" s="129">
        <v>100320</v>
      </c>
    </row>
    <row r="55" spans="1:1" x14ac:dyDescent="0.25">
      <c r="A55" s="129">
        <v>100620</v>
      </c>
    </row>
    <row r="56" spans="1:1" x14ac:dyDescent="0.25">
      <c r="A56" s="129">
        <v>101882</v>
      </c>
    </row>
    <row r="57" spans="1:1" x14ac:dyDescent="0.25">
      <c r="A57" s="129">
        <v>102210</v>
      </c>
    </row>
    <row r="58" spans="1:1" x14ac:dyDescent="0.25">
      <c r="A58" s="129">
        <v>102390</v>
      </c>
    </row>
    <row r="59" spans="1:1" x14ac:dyDescent="0.25">
      <c r="A59" s="129">
        <v>102609.72</v>
      </c>
    </row>
    <row r="60" spans="1:1" x14ac:dyDescent="0.25">
      <c r="A60" s="129">
        <v>103170</v>
      </c>
    </row>
    <row r="61" spans="1:1" x14ac:dyDescent="0.25">
      <c r="A61" s="129">
        <v>104010</v>
      </c>
    </row>
    <row r="62" spans="1:1" x14ac:dyDescent="0.25">
      <c r="A62" s="129">
        <v>109770</v>
      </c>
    </row>
    <row r="63" spans="1:1" x14ac:dyDescent="0.25">
      <c r="A63" s="129">
        <v>115170</v>
      </c>
    </row>
    <row r="64" spans="1:1" x14ac:dyDescent="0.25">
      <c r="A64" s="129">
        <v>124980</v>
      </c>
    </row>
    <row r="65" spans="1:1" x14ac:dyDescent="0.25">
      <c r="A65" s="129">
        <v>125130</v>
      </c>
    </row>
    <row r="66" spans="1:1" x14ac:dyDescent="0.25">
      <c r="A66" s="129">
        <v>127650</v>
      </c>
    </row>
    <row r="67" spans="1:1" x14ac:dyDescent="0.25">
      <c r="A67" s="129">
        <v>132870</v>
      </c>
    </row>
    <row r="68" spans="1:1" x14ac:dyDescent="0.25">
      <c r="A68" s="129">
        <v>133230</v>
      </c>
    </row>
    <row r="69" spans="1:1" x14ac:dyDescent="0.25">
      <c r="A69" s="129">
        <v>136440</v>
      </c>
    </row>
    <row r="70" spans="1:1" x14ac:dyDescent="0.25">
      <c r="A70" s="129">
        <v>138120</v>
      </c>
    </row>
    <row r="71" spans="1:1" x14ac:dyDescent="0.25">
      <c r="A71" s="129">
        <v>141510</v>
      </c>
    </row>
    <row r="72" spans="1:1" x14ac:dyDescent="0.25">
      <c r="A72" s="129">
        <v>144600</v>
      </c>
    </row>
    <row r="73" spans="1:1" x14ac:dyDescent="0.25">
      <c r="A73" s="129">
        <v>146250</v>
      </c>
    </row>
    <row r="74" spans="1:1" x14ac:dyDescent="0.25">
      <c r="A74" s="129">
        <v>148115</v>
      </c>
    </row>
    <row r="75" spans="1:1" x14ac:dyDescent="0.25">
      <c r="A75" s="129">
        <v>148650</v>
      </c>
    </row>
    <row r="76" spans="1:1" x14ac:dyDescent="0.25">
      <c r="A76" s="129">
        <v>157200</v>
      </c>
    </row>
    <row r="77" spans="1:1" x14ac:dyDescent="0.25">
      <c r="A77" s="129">
        <v>157410</v>
      </c>
    </row>
    <row r="78" spans="1:1" x14ac:dyDescent="0.25">
      <c r="A78" s="129">
        <v>157830</v>
      </c>
    </row>
    <row r="79" spans="1:1" x14ac:dyDescent="0.25">
      <c r="A79" s="129">
        <v>160680</v>
      </c>
    </row>
    <row r="80" spans="1:1" x14ac:dyDescent="0.25">
      <c r="A80" s="129">
        <v>184200</v>
      </c>
    </row>
    <row r="81" spans="1:1" x14ac:dyDescent="0.25">
      <c r="A81" s="129">
        <v>186210</v>
      </c>
    </row>
    <row r="82" spans="1:1" x14ac:dyDescent="0.25">
      <c r="A82" s="129">
        <v>192840</v>
      </c>
    </row>
    <row r="83" spans="1:1" x14ac:dyDescent="0.25">
      <c r="A83" s="129">
        <v>200000</v>
      </c>
    </row>
    <row r="84" spans="1:1" x14ac:dyDescent="0.25">
      <c r="A84" s="129">
        <v>203010</v>
      </c>
    </row>
    <row r="85" spans="1:1" x14ac:dyDescent="0.25">
      <c r="A85" s="129">
        <v>210240</v>
      </c>
    </row>
    <row r="86" spans="1:1" x14ac:dyDescent="0.25">
      <c r="A86" s="129">
        <v>212130</v>
      </c>
    </row>
    <row r="87" spans="1:1" x14ac:dyDescent="0.25">
      <c r="A87" s="129">
        <v>243570</v>
      </c>
    </row>
    <row r="88" spans="1:1" x14ac:dyDescent="0.25">
      <c r="A88" s="129">
        <v>245160</v>
      </c>
    </row>
    <row r="89" spans="1:1" x14ac:dyDescent="0.25">
      <c r="A89" s="129">
        <v>248670</v>
      </c>
    </row>
    <row r="90" spans="1:1" x14ac:dyDescent="0.25">
      <c r="A90" s="129">
        <v>260010</v>
      </c>
    </row>
    <row r="91" spans="1:1" x14ac:dyDescent="0.25">
      <c r="A91" s="129">
        <v>278490</v>
      </c>
    </row>
    <row r="92" spans="1:1" x14ac:dyDescent="0.25">
      <c r="A92" s="129">
        <v>288540</v>
      </c>
    </row>
    <row r="93" spans="1:1" x14ac:dyDescent="0.25">
      <c r="A93" s="129">
        <v>297870</v>
      </c>
    </row>
    <row r="94" spans="1:1" x14ac:dyDescent="0.25">
      <c r="A94" s="129">
        <v>300000</v>
      </c>
    </row>
    <row r="95" spans="1:1" x14ac:dyDescent="0.25">
      <c r="A95" s="129">
        <v>303810</v>
      </c>
    </row>
    <row r="96" spans="1:1" x14ac:dyDescent="0.25">
      <c r="A96" s="129">
        <v>303898</v>
      </c>
    </row>
    <row r="97" spans="1:1" x14ac:dyDescent="0.25">
      <c r="A97" s="129">
        <v>309420</v>
      </c>
    </row>
    <row r="98" spans="1:1" x14ac:dyDescent="0.25">
      <c r="A98" s="129">
        <v>320000</v>
      </c>
    </row>
    <row r="99" spans="1:1" x14ac:dyDescent="0.25">
      <c r="A99" s="129">
        <v>356220</v>
      </c>
    </row>
    <row r="100" spans="1:1" x14ac:dyDescent="0.25">
      <c r="A100" s="129">
        <v>374820</v>
      </c>
    </row>
    <row r="101" spans="1:1" x14ac:dyDescent="0.25">
      <c r="A101" s="129">
        <v>377610</v>
      </c>
    </row>
    <row r="102" spans="1:1" x14ac:dyDescent="0.25">
      <c r="A102" s="129">
        <v>418950</v>
      </c>
    </row>
    <row r="103" spans="1:1" x14ac:dyDescent="0.25">
      <c r="A103" s="129">
        <v>467130</v>
      </c>
    </row>
    <row r="104" spans="1:1" x14ac:dyDescent="0.25">
      <c r="A104" s="129">
        <v>475680</v>
      </c>
    </row>
    <row r="105" spans="1:1" x14ac:dyDescent="0.25">
      <c r="A105" s="129">
        <v>524295</v>
      </c>
    </row>
    <row r="106" spans="1:1" x14ac:dyDescent="0.25">
      <c r="A106" s="129">
        <v>588460</v>
      </c>
    </row>
    <row r="107" spans="1:1" x14ac:dyDescent="0.25">
      <c r="A107" s="129">
        <v>750000</v>
      </c>
    </row>
    <row r="108" spans="1:1" x14ac:dyDescent="0.25">
      <c r="A108" s="129">
        <v>1221339.1399999999</v>
      </c>
    </row>
    <row r="109" spans="1:1" x14ac:dyDescent="0.25">
      <c r="A109" s="129">
        <v>1233630</v>
      </c>
    </row>
    <row r="110" spans="1:1" x14ac:dyDescent="0.25">
      <c r="A110" s="129">
        <v>1500000</v>
      </c>
    </row>
    <row r="111" spans="1:1" x14ac:dyDescent="0.25">
      <c r="A111" s="129">
        <v>1563541.46</v>
      </c>
    </row>
    <row r="112" spans="1:1" x14ac:dyDescent="0.25">
      <c r="A112" s="129">
        <v>1599321</v>
      </c>
    </row>
    <row r="113" spans="1:1" x14ac:dyDescent="0.25">
      <c r="A113" s="129">
        <v>2000000</v>
      </c>
    </row>
    <row r="114" spans="1:1" x14ac:dyDescent="0.25">
      <c r="A114" s="129">
        <v>2206400</v>
      </c>
    </row>
    <row r="115" spans="1:1" x14ac:dyDescent="0.25">
      <c r="A115" s="129">
        <v>2668488</v>
      </c>
    </row>
    <row r="116" spans="1:1" x14ac:dyDescent="0.25">
      <c r="A116" s="129">
        <v>3000000</v>
      </c>
    </row>
    <row r="117" spans="1:1" x14ac:dyDescent="0.25">
      <c r="A117" s="129">
        <v>3200000</v>
      </c>
    </row>
    <row r="118" spans="1:1" x14ac:dyDescent="0.25">
      <c r="A118" s="129">
        <v>7490000</v>
      </c>
    </row>
    <row r="119" spans="1:1" x14ac:dyDescent="0.25">
      <c r="A119" s="129">
        <v>47190000</v>
      </c>
    </row>
    <row r="120" spans="1:1" x14ac:dyDescent="0.25">
      <c r="A120" s="129">
        <v>60000000</v>
      </c>
    </row>
    <row r="121" spans="1:1" x14ac:dyDescent="0.25">
      <c r="A121" s="129" t="s">
        <v>630</v>
      </c>
    </row>
    <row r="122" spans="1:1" x14ac:dyDescent="0.25">
      <c r="A122" s="128" t="s">
        <v>637</v>
      </c>
    </row>
    <row r="123" spans="1:1" x14ac:dyDescent="0.25">
      <c r="A123" s="129">
        <v>18200000</v>
      </c>
    </row>
    <row r="124" spans="1:1" x14ac:dyDescent="0.25">
      <c r="A124" s="129" t="s">
        <v>630</v>
      </c>
    </row>
    <row r="125" spans="1:1" x14ac:dyDescent="0.25">
      <c r="A125" s="128" t="s">
        <v>638</v>
      </c>
    </row>
    <row r="126" spans="1:1" x14ac:dyDescent="0.25">
      <c r="A126" s="129">
        <v>200000</v>
      </c>
    </row>
    <row r="127" spans="1:1" x14ac:dyDescent="0.25">
      <c r="A127" s="129">
        <v>400000</v>
      </c>
    </row>
    <row r="128" spans="1:1" x14ac:dyDescent="0.25">
      <c r="A128" s="129">
        <v>500000</v>
      </c>
    </row>
    <row r="129" spans="1:1" x14ac:dyDescent="0.25">
      <c r="A129" s="129">
        <v>900000</v>
      </c>
    </row>
    <row r="130" spans="1:1" x14ac:dyDescent="0.25">
      <c r="A130" s="129">
        <v>1500000</v>
      </c>
    </row>
    <row r="131" spans="1:1" x14ac:dyDescent="0.25">
      <c r="A131" s="129">
        <v>1560000</v>
      </c>
    </row>
    <row r="132" spans="1:1" x14ac:dyDescent="0.25">
      <c r="A132" s="129">
        <v>2354545</v>
      </c>
    </row>
    <row r="133" spans="1:1" x14ac:dyDescent="0.25">
      <c r="A133" s="129">
        <v>2504666.6666666665</v>
      </c>
    </row>
    <row r="134" spans="1:1" x14ac:dyDescent="0.25">
      <c r="A134" s="129">
        <v>11058302</v>
      </c>
    </row>
    <row r="135" spans="1:1" x14ac:dyDescent="0.25">
      <c r="A135" s="129">
        <v>13400000</v>
      </c>
    </row>
    <row r="136" spans="1:1" x14ac:dyDescent="0.25">
      <c r="A136" s="129">
        <v>19500000</v>
      </c>
    </row>
    <row r="137" spans="1:1" x14ac:dyDescent="0.25">
      <c r="A137" s="129">
        <v>20000000</v>
      </c>
    </row>
    <row r="138" spans="1:1" x14ac:dyDescent="0.25">
      <c r="A138" s="129">
        <v>22100000</v>
      </c>
    </row>
    <row r="139" spans="1:1" x14ac:dyDescent="0.25">
      <c r="A139" s="129">
        <v>25350000</v>
      </c>
    </row>
    <row r="140" spans="1:1" x14ac:dyDescent="0.25">
      <c r="A140" s="129" t="s">
        <v>630</v>
      </c>
    </row>
    <row r="141" spans="1:1" x14ac:dyDescent="0.25">
      <c r="A141" s="128" t="s">
        <v>642</v>
      </c>
    </row>
    <row r="142" spans="1:1" x14ac:dyDescent="0.25">
      <c r="A142" s="129">
        <v>80000</v>
      </c>
    </row>
    <row r="143" spans="1:1" x14ac:dyDescent="0.25">
      <c r="A143" s="129">
        <v>608796.63</v>
      </c>
    </row>
    <row r="144" spans="1:1" x14ac:dyDescent="0.25">
      <c r="A144" s="129">
        <v>2403282.5499999998</v>
      </c>
    </row>
    <row r="145" spans="1:1" x14ac:dyDescent="0.25">
      <c r="A145" s="129">
        <v>2497017.44</v>
      </c>
    </row>
    <row r="146" spans="1:1" x14ac:dyDescent="0.25">
      <c r="A146" s="129">
        <v>5195960.07</v>
      </c>
    </row>
    <row r="147" spans="1:1" x14ac:dyDescent="0.25">
      <c r="A147" s="129">
        <v>5290957</v>
      </c>
    </row>
    <row r="148" spans="1:1" x14ac:dyDescent="0.25">
      <c r="A148" s="129">
        <v>5850000</v>
      </c>
    </row>
    <row r="149" spans="1:1" x14ac:dyDescent="0.25">
      <c r="A149" s="129">
        <v>6148790.9400000004</v>
      </c>
    </row>
    <row r="150" spans="1:1" x14ac:dyDescent="0.25">
      <c r="A150" s="129">
        <v>6844060.5899999999</v>
      </c>
    </row>
    <row r="151" spans="1:1" x14ac:dyDescent="0.25">
      <c r="A151" s="129">
        <v>8063651.9199999999</v>
      </c>
    </row>
    <row r="152" spans="1:1" x14ac:dyDescent="0.25">
      <c r="A152" s="129">
        <v>13000000</v>
      </c>
    </row>
    <row r="153" spans="1:1" x14ac:dyDescent="0.25">
      <c r="A153" s="129">
        <v>13200000</v>
      </c>
    </row>
    <row r="154" spans="1:1" x14ac:dyDescent="0.25">
      <c r="A154" s="129">
        <v>14960000</v>
      </c>
    </row>
    <row r="155" spans="1:1" x14ac:dyDescent="0.25">
      <c r="A155" s="129">
        <v>85000000</v>
      </c>
    </row>
    <row r="156" spans="1:1" x14ac:dyDescent="0.25">
      <c r="A156" s="129">
        <v>92160000</v>
      </c>
    </row>
    <row r="157" spans="1:1" x14ac:dyDescent="0.25">
      <c r="A157" s="129" t="s">
        <v>630</v>
      </c>
    </row>
    <row r="158" spans="1:1" x14ac:dyDescent="0.25">
      <c r="A158" s="128" t="s">
        <v>643</v>
      </c>
    </row>
    <row r="159" spans="1:1" x14ac:dyDescent="0.25">
      <c r="A159" s="129" t="s">
        <v>630</v>
      </c>
    </row>
    <row r="160" spans="1:1" x14ac:dyDescent="0.25">
      <c r="A160" s="128" t="s">
        <v>641</v>
      </c>
    </row>
    <row r="161" spans="1:1" x14ac:dyDescent="0.25">
      <c r="A161" s="129">
        <v>16000</v>
      </c>
    </row>
    <row r="162" spans="1:1" x14ac:dyDescent="0.25">
      <c r="A162" s="129">
        <v>24000</v>
      </c>
    </row>
    <row r="163" spans="1:1" x14ac:dyDescent="0.25">
      <c r="A163" s="129">
        <v>32000</v>
      </c>
    </row>
    <row r="164" spans="1:1" x14ac:dyDescent="0.25">
      <c r="A164" s="129">
        <v>47058.879999999997</v>
      </c>
    </row>
    <row r="165" spans="1:1" x14ac:dyDescent="0.25">
      <c r="A165" s="129">
        <v>58720</v>
      </c>
    </row>
    <row r="166" spans="1:1" x14ac:dyDescent="0.25">
      <c r="A166" s="129">
        <v>218209.51</v>
      </c>
    </row>
    <row r="167" spans="1:1" x14ac:dyDescent="0.25">
      <c r="A167" s="129">
        <v>1500000</v>
      </c>
    </row>
    <row r="168" spans="1:1" x14ac:dyDescent="0.25">
      <c r="A168" s="129">
        <v>3000000</v>
      </c>
    </row>
    <row r="169" spans="1:1" x14ac:dyDescent="0.25">
      <c r="A169" s="129">
        <v>7150000</v>
      </c>
    </row>
    <row r="170" spans="1:1" x14ac:dyDescent="0.25">
      <c r="A170" s="129" t="s">
        <v>630</v>
      </c>
    </row>
    <row r="171" spans="1:1" x14ac:dyDescent="0.25">
      <c r="A171" s="128" t="s">
        <v>630</v>
      </c>
    </row>
    <row r="172" spans="1:1" x14ac:dyDescent="0.25">
      <c r="A172" s="129" t="s">
        <v>630</v>
      </c>
    </row>
    <row r="173" spans="1:1" x14ac:dyDescent="0.25">
      <c r="A173" s="128" t="s">
        <v>631</v>
      </c>
    </row>
    <row r="174" spans="1:1" x14ac:dyDescent="0.25">
      <c r="A174" s="130">
        <f>SUM(A2:A173)</f>
        <v>562650251.67666662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38087071</IDBDocs_x0020_Number>
    <TaxCatchAll xmlns="9c571b2f-e523-4ab2-ba2e-09e151a03ef4">
      <Value>10</Value>
      <Value>7</Value>
    </TaxCatchAll>
    <Phase xmlns="9c571b2f-e523-4ab2-ba2e-09e151a03ef4" xsi:nil="true"/>
    <SISCOR_x0020_Number xmlns="9c571b2f-e523-4ab2-ba2e-09e151a03ef4" xsi:nil="true"/>
    <Division_x0020_or_x0020_Unit xmlns="9c571b2f-e523-4ab2-ba2e-09e151a03ef4">IFD/CTI</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Project Profile (PP)</TermName>
          <TermId xmlns="http://schemas.microsoft.com/office/infopath/2007/PartnerControls">ac5f0c28-f2f6-431c-8d05-62f851b6a822</TermId>
        </TermInfo>
      </Terms>
    </o5138a91267540169645e33d09c9ddc6>
    <Approval_x0020_Number xmlns="9c571b2f-e523-4ab2-ba2e-09e151a03ef4" xsi:nil="true"/>
    <Document_x0020_Author xmlns="9c571b2f-e523-4ab2-ba2e-09e151a03ef4">REYNA, PATRICIA</Document_x0020_Author>
    <e559ffcc31d34167856647188be35015 xmlns="9c571b2f-e523-4ab2-ba2e-09e151a03ef4">
      <Terms xmlns="http://schemas.microsoft.com/office/infopath/2007/PartnerControls"/>
    </e559ffcc31d34167856647188be35015>
    <Fiscal_x0020_Year_x0020_IDB xmlns="9c571b2f-e523-4ab2-ba2e-09e151a03ef4">2013</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Project_x0020_Number xmlns="9c571b2f-e523-4ab2-ba2e-09e151a03ef4">ES-L1075</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Proposal&lt;/USER_STAGE&gt;&lt;APPROVAL_CODE&gt;QRR&lt;/APPROVAL_CODE&gt;&lt;APPROVAL_DESC&gt;Quality &amp; Risk Review&lt;/APPROVAL_DESC&gt;&lt;PD_OBJ_TYPE&gt;0&lt;/PD_OBJ_TYPE&gt;&lt;MAKERECORD&gt;N&lt;/MAKERECORD&gt;&lt;PD_FILEPT_NO&gt;PO-ES-L1075-Plan&lt;/PD_FILEPT_NO&gt;&lt;/Data&gt;</Migration_x0020_Info>
    <Operation_x0020_Type xmlns="9c571b2f-e523-4ab2-ba2e-09e151a03ef4" xsi:nil="true"/>
    <Document_x0020_Language_x0020_IDB xmlns="9c571b2f-e523-4ab2-ba2e-09e151a03ef4">Spanish</Document_x0020_Language_x0020_IDB>
    <Identifier xmlns="9c571b2f-e523-4ab2-ba2e-09e151a03ef4"> ANNEX</Identifier>
    <Disclosure_x0020_Activity xmlns="9c571b2f-e523-4ab2-ba2e-09e151a03ef4">Loan Proposal</Disclosure_x0020_Activity>
    <Webtopic xmlns="9c571b2f-e523-4ab2-ba2e-09e151a03ef4">CO-CYT</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E2FFAD7A8F2796408B61A8DC0AD4A087" ma:contentTypeVersion="0" ma:contentTypeDescription="A content type to manage public (operations) IDB documents" ma:contentTypeScope="" ma:versionID="aedd02ef56c9b00425952c2da84e9815">
  <xsd:schema xmlns:xsd="http://www.w3.org/2001/XMLSchema" xmlns:xs="http://www.w3.org/2001/XMLSchema" xmlns:p="http://schemas.microsoft.com/office/2006/metadata/properties" xmlns:ns2="9c571b2f-e523-4ab2-ba2e-09e151a03ef4" targetNamespace="http://schemas.microsoft.com/office/2006/metadata/properties" ma:root="true" ma:fieldsID="5dc240e628757ba7ec5e5939143c27f4"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04a3a5b-86bb-404a-93c9-b33ba2dc986f}" ma:internalName="TaxCatchAll" ma:showField="CatchAllData" ma:web="7e4303c5-54d5-4ea9-afa6-e8c3c05c9e51">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04a3a5b-86bb-404a-93c9-b33ba2dc986f}" ma:internalName="TaxCatchAllLabel" ma:readOnly="true" ma:showField="CatchAllDataLabel" ma:web="7e4303c5-54d5-4ea9-afa6-e8c3c05c9e51">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784C6C38-B912-4765-897E-A6B6DB9EC42E}"/>
</file>

<file path=customXml/itemProps2.xml><?xml version="1.0" encoding="utf-8"?>
<ds:datastoreItem xmlns:ds="http://schemas.openxmlformats.org/officeDocument/2006/customXml" ds:itemID="{06B9D67E-7DCC-4F7C-93EB-BC02258A5205}"/>
</file>

<file path=customXml/itemProps3.xml><?xml version="1.0" encoding="utf-8"?>
<ds:datastoreItem xmlns:ds="http://schemas.openxmlformats.org/officeDocument/2006/customXml" ds:itemID="{3E20F6C6-84CE-4787-8BBF-AE7442D9A027}"/>
</file>

<file path=customXml/itemProps4.xml><?xml version="1.0" encoding="utf-8"?>
<ds:datastoreItem xmlns:ds="http://schemas.openxmlformats.org/officeDocument/2006/customXml" ds:itemID="{AFC4E98B-F2EB-49DE-812D-20EAD246BBBE}"/>
</file>

<file path=customXml/itemProps5.xml><?xml version="1.0" encoding="utf-8"?>
<ds:datastoreItem xmlns:ds="http://schemas.openxmlformats.org/officeDocument/2006/customXml" ds:itemID="{14889191-9141-4CFF-8A3B-99CE870099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 Matriz General</vt:lpstr>
      <vt:lpstr>2 Resumen x Eje</vt:lpstr>
      <vt:lpstr>3 Resumen x Org. Coop.</vt:lpstr>
      <vt:lpstr>4  Monto Actual x Cop x Eje</vt:lpstr>
      <vt:lpstr>Montos x Coop x Eje</vt:lpstr>
      <vt:lpstr>Montos por cooperacion</vt:lpstr>
      <vt:lpstr>Montos por ejes</vt:lpstr>
      <vt:lpstr>Sheet1</vt:lpstr>
    </vt:vector>
  </TitlesOfParts>
  <Company>COMPUTADORA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POD Enlace Op_ 15 Matriz de Inversiones en la Franja Costero-Marina ES-L1075</dc:title>
  <dc:creator>EL ROBLE 3</dc:creator>
  <cp:lastModifiedBy>Test</cp:lastModifiedBy>
  <cp:lastPrinted>2013-09-17T19:55:31Z</cp:lastPrinted>
  <dcterms:created xsi:type="dcterms:W3CDTF">2013-07-22T14:08:55Z</dcterms:created>
  <dcterms:modified xsi:type="dcterms:W3CDTF">2013-09-25T20:13:06Z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0x01010046CF21643EE8D14686A648AA6DAD089200E2FFAD7A8F2796408B61A8DC0AD4A087</vt:lpwstr>
  </property>
  <property fmtid="{D5CDD505-2E9C-101B-9397-08002B2CF9AE}" pid="3" name="TaxKeyword">
    <vt:lpwstr/>
  </property>
  <property fmtid="{D5CDD505-2E9C-101B-9397-08002B2CF9AE}" pid="4" name="Function Operations IDB">
    <vt:lpwstr>7;#Project Preparation, Planning and Design|29ca0c72-1fc4-435f-a09c-28585cb5eac9</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10;#Project Profile (PP)|ac5f0c28-f2f6-431c-8d05-62f851b6a822</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10;#Project Profile (PP)|ac5f0c28-f2f6-431c-8d05-62f851b6a822</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