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styles.xml" ContentType="application/vnd.openxmlformats-officedocument.spreadsheetml.styles+xml"/>
  <Override PartName="/xl/externalLinks/externalLink1.xml" ContentType="application/vnd.openxmlformats-officedocument.spreadsheetml.externalLink+xml"/>
  <Override PartName="/docProps/custom.xml" ContentType="application/vnd.openxmlformats-officedocument.custom-properties+xml"/>
  <Override PartName="/xl/externalLinks/externalLink2.xml" ContentType="application/vnd.openxmlformats-officedocument.spreadsheetml.externalLink+xml"/>
  <Override PartName="/docProps/app.xml" ContentType="application/vnd.openxmlformats-officedocument.extended-properties+xml"/>
  <Override PartName="/docProps/core.xml" ContentType="application/vnd.openxmlformats-package.core-properties+xml"/>
  <Override PartName="/customXml/itemProps6.xml" ContentType="application/vnd.openxmlformats-officedocument.customXmlProperties+xml"/>
  <Override PartName="/customXml/itemProps1.xml" ContentType="application/vnd.openxmlformats-officedocument.customXmlProperties+xml"/>
  <Override PartName="/xl/calcChain.xml" ContentType="application/vnd.openxmlformats-officedocument.spreadsheetml.calcChain+xml"/>
  <Override PartName="/customXml/itemProps2.xml" ContentType="application/vnd.openxmlformats-officedocument.customXmlProperties+xml"/>
  <Override PartName="/customXml/itemProps5.xml" ContentType="application/vnd.openxmlformats-officedocument.customXmlProperties+xml"/>
  <Override PartName="/customXml/itemProps4.xml" ContentType="application/vnd.openxmlformats-officedocument.customXmlProperties+xml"/>
  <Override PartName="/customXml/itemProps3.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8067"/>
  <workbookPr showInkAnnotation="0" autoCompressPictures="0"/>
  <mc:AlternateContent xmlns:mc="http://schemas.openxmlformats.org/markup-compatibility/2006">
    <mc:Choice Requires="x15">
      <x15ac:absPath xmlns:x15ac="http://schemas.microsoft.com/office/spreadsheetml/2010/11/ac" url="C:\Users\Familia Cracel\Desktop\Desktop 3\Suriname_SU_L1050\QRR\"/>
    </mc:Choice>
  </mc:AlternateContent>
  <bookViews>
    <workbookView xWindow="0" yWindow="0" windowWidth="28800" windowHeight="12975"/>
  </bookViews>
  <sheets>
    <sheet name="1. Detailed Budget POA" sheetId="4" r:id="rId1"/>
    <sheet name="2. Pluriannual Plan PEP" sheetId="7" r:id="rId2"/>
    <sheet name="3. Procurement Plan - PA" sheetId="9" r:id="rId3"/>
    <sheet name="4. Sintetic PA" sheetId="3" r:id="rId4"/>
    <sheet name="5. Budget by Components" sheetId="6" r:id="rId5"/>
    <sheet name="Prices" sheetId="10" r:id="rId6"/>
    <sheet name="6. Budget by Products" sheetId="11" state="hidden" r:id="rId7"/>
  </sheets>
  <externalReferences>
    <externalReference r:id="rId8"/>
    <externalReference r:id="rId9"/>
  </externalReferences>
  <definedNames>
    <definedName name="_xlnm.Print_Area" localSheetId="0">'1. Detailed Budget POA'!#REF!</definedName>
    <definedName name="_xlnm.Print_Area" localSheetId="2">'3. Procurement Plan - PA'!$A$1:$K$139</definedName>
  </definedNames>
  <calcPr calcId="171027" concurrentCalc="0"/>
</workbook>
</file>

<file path=xl/calcChain.xml><?xml version="1.0" encoding="utf-8"?>
<calcChain xmlns="http://schemas.openxmlformats.org/spreadsheetml/2006/main">
  <c r="B53" i="7" l="1"/>
  <c r="B54" i="7"/>
  <c r="B52" i="7"/>
  <c r="B51" i="7"/>
  <c r="B50" i="7"/>
  <c r="B49" i="7"/>
  <c r="B48" i="7"/>
  <c r="B47" i="7"/>
  <c r="B237" i="4"/>
  <c r="B15" i="7"/>
  <c r="H15" i="7"/>
  <c r="B9" i="6"/>
  <c r="A9" i="6"/>
  <c r="G231" i="4"/>
  <c r="G230" i="4"/>
  <c r="G234" i="4"/>
  <c r="B11" i="3"/>
  <c r="B16" i="3"/>
  <c r="C16" i="3"/>
  <c r="C15" i="3"/>
  <c r="C14" i="3"/>
  <c r="C13" i="3"/>
  <c r="C12" i="3"/>
  <c r="B231" i="4"/>
  <c r="B230" i="4"/>
  <c r="B220" i="4"/>
  <c r="B233" i="4"/>
  <c r="B31" i="3"/>
  <c r="C31" i="3"/>
  <c r="C26" i="3"/>
  <c r="C24" i="3"/>
  <c r="C23" i="3"/>
  <c r="B24" i="3"/>
  <c r="A24" i="3"/>
  <c r="E132" i="9"/>
  <c r="E133" i="9"/>
  <c r="G132" i="9"/>
  <c r="G133" i="9"/>
  <c r="B132" i="9"/>
  <c r="M47" i="7"/>
  <c r="L47" i="7"/>
  <c r="J47" i="7"/>
  <c r="H47" i="7"/>
  <c r="F47" i="7"/>
  <c r="D47" i="7"/>
  <c r="A47" i="7"/>
  <c r="B225" i="4"/>
  <c r="B224" i="4"/>
  <c r="B223" i="4"/>
  <c r="B221" i="4"/>
  <c r="B222" i="4"/>
  <c r="P222" i="4"/>
  <c r="B46" i="7"/>
  <c r="J46" i="7"/>
  <c r="D121" i="4"/>
  <c r="G121" i="4"/>
  <c r="L121" i="4"/>
  <c r="P121" i="4"/>
  <c r="T121" i="4"/>
  <c r="X121" i="4"/>
  <c r="D122" i="4"/>
  <c r="G122" i="4"/>
  <c r="L122" i="4"/>
  <c r="P122" i="4"/>
  <c r="T122" i="4"/>
  <c r="X122" i="4"/>
  <c r="G123" i="4"/>
  <c r="L123" i="4"/>
  <c r="P123" i="4"/>
  <c r="T123" i="4"/>
  <c r="X123" i="4"/>
  <c r="G124" i="4"/>
  <c r="L124" i="4"/>
  <c r="P124" i="4"/>
  <c r="G125" i="4"/>
  <c r="L125" i="4"/>
  <c r="P125" i="4"/>
  <c r="G126" i="4"/>
  <c r="L126" i="4"/>
  <c r="P126" i="4"/>
  <c r="T126" i="4"/>
  <c r="X126" i="4"/>
  <c r="G127" i="4"/>
  <c r="L127" i="4"/>
  <c r="P127" i="4"/>
  <c r="T127" i="4"/>
  <c r="X127" i="4"/>
  <c r="G128" i="4"/>
  <c r="L128" i="4"/>
  <c r="P128" i="4"/>
  <c r="T128" i="4"/>
  <c r="X128" i="4"/>
  <c r="G129" i="4"/>
  <c r="L129" i="4"/>
  <c r="P129" i="4"/>
  <c r="T129" i="4"/>
  <c r="X129" i="4"/>
  <c r="G130" i="4"/>
  <c r="L130" i="4"/>
  <c r="P130" i="4"/>
  <c r="T130" i="4"/>
  <c r="X130" i="4"/>
  <c r="G131" i="4"/>
  <c r="L131" i="4"/>
  <c r="P131" i="4"/>
  <c r="T131" i="4"/>
  <c r="X131" i="4"/>
  <c r="G132" i="4"/>
  <c r="L132" i="4"/>
  <c r="P132" i="4"/>
  <c r="T132" i="4"/>
  <c r="X132" i="4"/>
  <c r="G133" i="4"/>
  <c r="L133" i="4"/>
  <c r="P133" i="4"/>
  <c r="T133" i="4"/>
  <c r="X133" i="4"/>
  <c r="D134" i="4"/>
  <c r="G134" i="4"/>
  <c r="L134" i="4"/>
  <c r="P134" i="4"/>
  <c r="T134" i="4"/>
  <c r="X134" i="4"/>
  <c r="D135" i="4"/>
  <c r="G135" i="4"/>
  <c r="L135" i="4"/>
  <c r="P135" i="4"/>
  <c r="T135" i="4"/>
  <c r="X135" i="4"/>
  <c r="D136" i="4"/>
  <c r="G136" i="4"/>
  <c r="L136" i="4"/>
  <c r="P136" i="4"/>
  <c r="T136" i="4"/>
  <c r="X136" i="4"/>
  <c r="G137" i="4"/>
  <c r="L137" i="4"/>
  <c r="P137" i="4"/>
  <c r="T137" i="4"/>
  <c r="X137" i="4"/>
  <c r="G138" i="4"/>
  <c r="L138" i="4"/>
  <c r="P138" i="4"/>
  <c r="T138" i="4"/>
  <c r="X138" i="4"/>
  <c r="G139" i="4"/>
  <c r="L139" i="4"/>
  <c r="P139" i="4"/>
  <c r="T139" i="4"/>
  <c r="X139" i="4"/>
  <c r="G140" i="4"/>
  <c r="L140" i="4"/>
  <c r="P140" i="4"/>
  <c r="T140" i="4"/>
  <c r="X140" i="4"/>
  <c r="G141" i="4"/>
  <c r="L141" i="4"/>
  <c r="P141" i="4"/>
  <c r="T141" i="4"/>
  <c r="X141" i="4"/>
  <c r="G142" i="4"/>
  <c r="L142" i="4"/>
  <c r="P142" i="4"/>
  <c r="T142" i="4"/>
  <c r="X142" i="4"/>
  <c r="L53" i="7"/>
  <c r="H52" i="7"/>
  <c r="D51" i="7"/>
  <c r="L50" i="7"/>
  <c r="L49" i="7"/>
  <c r="H48" i="7"/>
  <c r="B42" i="7"/>
  <c r="L42" i="7"/>
  <c r="B41" i="7"/>
  <c r="H41" i="7"/>
  <c r="B37" i="7"/>
  <c r="L37" i="7"/>
  <c r="B36" i="7"/>
  <c r="H36" i="7"/>
  <c r="B35" i="7"/>
  <c r="D35" i="7"/>
  <c r="B34" i="7"/>
  <c r="L34" i="7"/>
  <c r="B33" i="7"/>
  <c r="L33" i="7"/>
  <c r="B32" i="7"/>
  <c r="H32" i="7"/>
  <c r="B31" i="7"/>
  <c r="D31" i="7"/>
  <c r="B30" i="7"/>
  <c r="L30" i="7"/>
  <c r="B29" i="7"/>
  <c r="L29" i="7"/>
  <c r="B28" i="7"/>
  <c r="H28" i="7"/>
  <c r="B27" i="7"/>
  <c r="D27" i="7"/>
  <c r="B26" i="7"/>
  <c r="L26" i="7"/>
  <c r="B25" i="7"/>
  <c r="L25" i="7"/>
  <c r="B21" i="7"/>
  <c r="L21" i="7"/>
  <c r="B20" i="7"/>
  <c r="H20" i="7"/>
  <c r="B19" i="7"/>
  <c r="D19" i="7"/>
  <c r="B18" i="7"/>
  <c r="L18" i="7"/>
  <c r="B17" i="7"/>
  <c r="L17" i="7"/>
  <c r="B16" i="7"/>
  <c r="H16" i="7"/>
  <c r="D15" i="7"/>
  <c r="B14" i="7"/>
  <c r="L14" i="7"/>
  <c r="B13" i="7"/>
  <c r="L13" i="7"/>
  <c r="B12" i="7"/>
  <c r="H12" i="7"/>
  <c r="B11" i="7"/>
  <c r="D11" i="7"/>
  <c r="B10" i="7"/>
  <c r="L10" i="7"/>
  <c r="B9" i="7"/>
  <c r="L9" i="7"/>
  <c r="B8" i="7"/>
  <c r="H8" i="7"/>
  <c r="B7" i="7"/>
  <c r="D7" i="7"/>
  <c r="B6" i="7"/>
  <c r="L6" i="7"/>
  <c r="B5" i="7"/>
  <c r="L5" i="7"/>
  <c r="M53" i="7"/>
  <c r="M52" i="7"/>
  <c r="M51" i="7"/>
  <c r="M50" i="7"/>
  <c r="M49" i="7"/>
  <c r="M48" i="7"/>
  <c r="M46" i="7"/>
  <c r="M42" i="7"/>
  <c r="M41" i="7"/>
  <c r="M37" i="7"/>
  <c r="M36" i="7"/>
  <c r="M35" i="7"/>
  <c r="M34" i="7"/>
  <c r="M33" i="7"/>
  <c r="M32" i="7"/>
  <c r="M31" i="7"/>
  <c r="M30" i="7"/>
  <c r="M29" i="7"/>
  <c r="M28" i="7"/>
  <c r="M27" i="7"/>
  <c r="M26" i="7"/>
  <c r="M25" i="7"/>
  <c r="M21" i="7"/>
  <c r="M20" i="7"/>
  <c r="M19" i="7"/>
  <c r="M18" i="7"/>
  <c r="M17" i="7"/>
  <c r="M16" i="7"/>
  <c r="M15" i="7"/>
  <c r="M14" i="7"/>
  <c r="M13" i="7"/>
  <c r="M12" i="7"/>
  <c r="M11" i="7"/>
  <c r="M10" i="7"/>
  <c r="M9" i="7"/>
  <c r="M8" i="7"/>
  <c r="M7" i="7"/>
  <c r="M6" i="7"/>
  <c r="M5" i="7"/>
  <c r="J27" i="7"/>
  <c r="F35" i="7"/>
  <c r="J35" i="7"/>
  <c r="L8" i="7"/>
  <c r="D6" i="7"/>
  <c r="F27" i="7"/>
  <c r="D46" i="7"/>
  <c r="H19" i="7"/>
  <c r="F51" i="7"/>
  <c r="J19" i="7"/>
  <c r="J51" i="7"/>
  <c r="J15" i="7"/>
  <c r="F46" i="7"/>
  <c r="L12" i="7"/>
  <c r="F31" i="7"/>
  <c r="J12" i="7"/>
  <c r="J8" i="7"/>
  <c r="F18" i="7"/>
  <c r="J31" i="7"/>
  <c r="J36" i="7"/>
  <c r="H7" i="7"/>
  <c r="L20" i="7"/>
  <c r="J28" i="7"/>
  <c r="J48" i="7"/>
  <c r="J7" i="7"/>
  <c r="F11" i="7"/>
  <c r="D14" i="7"/>
  <c r="J41" i="7"/>
  <c r="F7" i="7"/>
  <c r="D10" i="7"/>
  <c r="L16" i="7"/>
  <c r="J32" i="7"/>
  <c r="J52" i="7"/>
  <c r="H11" i="7"/>
  <c r="F14" i="7"/>
  <c r="D18" i="7"/>
  <c r="L41" i="7"/>
  <c r="J11" i="7"/>
  <c r="B121" i="4"/>
  <c r="B134" i="4"/>
  <c r="H46" i="7"/>
  <c r="L48" i="7"/>
  <c r="D50" i="7"/>
  <c r="H51" i="7"/>
  <c r="L52" i="7"/>
  <c r="F50" i="7"/>
  <c r="L46" i="7"/>
  <c r="D49" i="7"/>
  <c r="H50" i="7"/>
  <c r="L51" i="7"/>
  <c r="D53" i="7"/>
  <c r="F53" i="7"/>
  <c r="F49" i="7"/>
  <c r="J50" i="7"/>
  <c r="D48" i="7"/>
  <c r="H49" i="7"/>
  <c r="D52" i="7"/>
  <c r="H53" i="7"/>
  <c r="F48" i="7"/>
  <c r="J49" i="7"/>
  <c r="F52" i="7"/>
  <c r="J53" i="7"/>
  <c r="D42" i="7"/>
  <c r="F42" i="7"/>
  <c r="D41" i="7"/>
  <c r="H42" i="7"/>
  <c r="F41" i="7"/>
  <c r="J42" i="7"/>
  <c r="D26" i="7"/>
  <c r="H27" i="7"/>
  <c r="L28" i="7"/>
  <c r="D30" i="7"/>
  <c r="H31" i="7"/>
  <c r="L32" i="7"/>
  <c r="D34" i="7"/>
  <c r="H35" i="7"/>
  <c r="L36" i="7"/>
  <c r="F30" i="7"/>
  <c r="F34" i="7"/>
  <c r="D25" i="7"/>
  <c r="H26" i="7"/>
  <c r="L27" i="7"/>
  <c r="D29" i="7"/>
  <c r="H30" i="7"/>
  <c r="L31" i="7"/>
  <c r="D33" i="7"/>
  <c r="H34" i="7"/>
  <c r="L35" i="7"/>
  <c r="D37" i="7"/>
  <c r="F26" i="7"/>
  <c r="F25" i="7"/>
  <c r="J26" i="7"/>
  <c r="F29" i="7"/>
  <c r="F33" i="7"/>
  <c r="J34" i="7"/>
  <c r="F37" i="7"/>
  <c r="J30" i="7"/>
  <c r="H25" i="7"/>
  <c r="D28" i="7"/>
  <c r="H29" i="7"/>
  <c r="D32" i="7"/>
  <c r="H33" i="7"/>
  <c r="D36" i="7"/>
  <c r="H37" i="7"/>
  <c r="J25" i="7"/>
  <c r="F32" i="7"/>
  <c r="J33" i="7"/>
  <c r="F36" i="7"/>
  <c r="J37" i="7"/>
  <c r="F28" i="7"/>
  <c r="J29" i="7"/>
  <c r="F15" i="7"/>
  <c r="J16" i="7"/>
  <c r="F19" i="7"/>
  <c r="J20" i="7"/>
  <c r="F10" i="7"/>
  <c r="F6" i="7"/>
  <c r="D5" i="7"/>
  <c r="H6" i="7"/>
  <c r="L7" i="7"/>
  <c r="D9" i="7"/>
  <c r="H10" i="7"/>
  <c r="L11" i="7"/>
  <c r="D13" i="7"/>
  <c r="H14" i="7"/>
  <c r="L15" i="7"/>
  <c r="D17" i="7"/>
  <c r="H18" i="7"/>
  <c r="L19" i="7"/>
  <c r="D21" i="7"/>
  <c r="F5" i="7"/>
  <c r="J6" i="7"/>
  <c r="F13" i="7"/>
  <c r="F17" i="7"/>
  <c r="J18" i="7"/>
  <c r="F21" i="7"/>
  <c r="F9" i="7"/>
  <c r="J10" i="7"/>
  <c r="J14" i="7"/>
  <c r="H5" i="7"/>
  <c r="D8" i="7"/>
  <c r="H9" i="7"/>
  <c r="D12" i="7"/>
  <c r="H13" i="7"/>
  <c r="D16" i="7"/>
  <c r="H17" i="7"/>
  <c r="D20" i="7"/>
  <c r="H21" i="7"/>
  <c r="J5" i="7"/>
  <c r="F16" i="7"/>
  <c r="J17" i="7"/>
  <c r="F20" i="7"/>
  <c r="J21" i="7"/>
  <c r="F8" i="7"/>
  <c r="J9" i="7"/>
  <c r="F12" i="7"/>
  <c r="J13" i="7"/>
  <c r="B13" i="6"/>
  <c r="G228" i="4"/>
  <c r="A26" i="3"/>
  <c r="B53" i="9"/>
  <c r="A49" i="7"/>
  <c r="A11" i="6"/>
  <c r="X224" i="4"/>
  <c r="T224" i="4"/>
  <c r="P224" i="4"/>
  <c r="L224" i="4"/>
  <c r="D224" i="4"/>
  <c r="G224" i="4"/>
  <c r="B11" i="6"/>
  <c r="B26" i="3"/>
  <c r="D231" i="4"/>
  <c r="B48" i="9"/>
  <c r="A42" i="7"/>
  <c r="A41" i="7"/>
  <c r="E140" i="9"/>
  <c r="B141" i="9"/>
  <c r="B140" i="9"/>
  <c r="B136" i="9"/>
  <c r="B135" i="9"/>
  <c r="B119" i="9"/>
  <c r="B131" i="9"/>
  <c r="B130" i="9"/>
  <c r="B129" i="9"/>
  <c r="B128" i="9"/>
  <c r="B127" i="9"/>
  <c r="B126" i="9"/>
  <c r="B125" i="9"/>
  <c r="B124" i="9"/>
  <c r="B123" i="9"/>
  <c r="B122" i="9"/>
  <c r="B121" i="9"/>
  <c r="B120" i="9"/>
  <c r="B118" i="9"/>
  <c r="B117" i="9"/>
  <c r="B116" i="9"/>
  <c r="B115" i="9"/>
  <c r="B114" i="9"/>
  <c r="B113" i="9"/>
  <c r="B112" i="9"/>
  <c r="B111" i="9"/>
  <c r="B110" i="9"/>
  <c r="B109" i="9"/>
  <c r="B108" i="9"/>
  <c r="B107" i="9"/>
  <c r="B106" i="9"/>
  <c r="B105" i="9"/>
  <c r="B104" i="9"/>
  <c r="B103" i="9"/>
  <c r="E65" i="9"/>
  <c r="G65" i="9"/>
  <c r="B65" i="9"/>
  <c r="E80" i="9"/>
  <c r="G80" i="9"/>
  <c r="E81" i="9"/>
  <c r="G81" i="9"/>
  <c r="E82" i="9"/>
  <c r="G82" i="9"/>
  <c r="B91" i="9"/>
  <c r="B90" i="9"/>
  <c r="E90" i="9"/>
  <c r="G90" i="9"/>
  <c r="E91" i="9"/>
  <c r="G91" i="9"/>
  <c r="E98" i="9"/>
  <c r="G98" i="9"/>
  <c r="E97" i="9"/>
  <c r="G97" i="9"/>
  <c r="E96" i="9"/>
  <c r="G96" i="9"/>
  <c r="E95" i="9"/>
  <c r="G95" i="9"/>
  <c r="E94" i="9"/>
  <c r="G94" i="9"/>
  <c r="E93" i="9"/>
  <c r="G93" i="9"/>
  <c r="E92" i="9"/>
  <c r="G92" i="9"/>
  <c r="E89" i="9"/>
  <c r="G89" i="9"/>
  <c r="E88" i="9"/>
  <c r="G88" i="9"/>
  <c r="E87" i="9"/>
  <c r="G87" i="9"/>
  <c r="E86" i="9"/>
  <c r="G86" i="9"/>
  <c r="E85" i="9"/>
  <c r="G85" i="9"/>
  <c r="E84" i="9"/>
  <c r="G84" i="9"/>
  <c r="E83" i="9"/>
  <c r="G83" i="9"/>
  <c r="E79" i="9"/>
  <c r="G79" i="9"/>
  <c r="E78" i="9"/>
  <c r="G78" i="9"/>
  <c r="E77" i="9"/>
  <c r="G77" i="9"/>
  <c r="E76" i="9"/>
  <c r="G76" i="9"/>
  <c r="E75" i="9"/>
  <c r="G75" i="9"/>
  <c r="E74" i="9"/>
  <c r="G74" i="9"/>
  <c r="E73" i="9"/>
  <c r="G73" i="9"/>
  <c r="E72" i="9"/>
  <c r="G72" i="9"/>
  <c r="E71" i="9"/>
  <c r="G71" i="9"/>
  <c r="E70" i="9"/>
  <c r="G70" i="9"/>
  <c r="E69" i="9"/>
  <c r="G69" i="9"/>
  <c r="E68" i="9"/>
  <c r="G68" i="9"/>
  <c r="E67" i="9"/>
  <c r="G67" i="9"/>
  <c r="E66" i="9"/>
  <c r="G66" i="9"/>
  <c r="E64" i="9"/>
  <c r="G64" i="9"/>
  <c r="G99" i="9"/>
  <c r="E63" i="9"/>
  <c r="G63" i="9"/>
  <c r="E62" i="9"/>
  <c r="G62" i="9"/>
  <c r="E61" i="9"/>
  <c r="G61" i="9"/>
  <c r="E60" i="9"/>
  <c r="G60" i="9"/>
  <c r="E59" i="9"/>
  <c r="G59" i="9"/>
  <c r="B98" i="9"/>
  <c r="B97" i="9"/>
  <c r="B96" i="9"/>
  <c r="B95" i="9"/>
  <c r="B94" i="9"/>
  <c r="B93" i="9"/>
  <c r="B92" i="9"/>
  <c r="B89" i="9"/>
  <c r="B88" i="9"/>
  <c r="B87" i="9"/>
  <c r="B86" i="9"/>
  <c r="B85" i="9"/>
  <c r="B84" i="9"/>
  <c r="B83" i="9"/>
  <c r="B82" i="9"/>
  <c r="B81" i="9"/>
  <c r="B80" i="9"/>
  <c r="B79" i="9"/>
  <c r="B78" i="9"/>
  <c r="B77" i="9"/>
  <c r="B76" i="9"/>
  <c r="B75" i="9"/>
  <c r="B74" i="9"/>
  <c r="B73" i="9"/>
  <c r="B72" i="9"/>
  <c r="B71" i="9"/>
  <c r="B70" i="9"/>
  <c r="B69" i="9"/>
  <c r="B68" i="9"/>
  <c r="B67" i="9"/>
  <c r="B66" i="9"/>
  <c r="B64" i="9"/>
  <c r="B63" i="9"/>
  <c r="B62" i="9"/>
  <c r="B61" i="9"/>
  <c r="B60" i="9"/>
  <c r="B59" i="9"/>
  <c r="A1" i="9"/>
  <c r="B36" i="9"/>
  <c r="B34" i="9"/>
  <c r="B33" i="9"/>
  <c r="G140" i="9"/>
  <c r="G55" i="9"/>
  <c r="B52" i="9"/>
  <c r="B51" i="9"/>
  <c r="B50" i="9"/>
  <c r="B49" i="9"/>
  <c r="B47" i="9"/>
  <c r="B46" i="9"/>
  <c r="B45" i="9"/>
  <c r="B44" i="9"/>
  <c r="B43" i="9"/>
  <c r="B42" i="9"/>
  <c r="B41" i="9"/>
  <c r="B40" i="9"/>
  <c r="B39" i="9"/>
  <c r="B38" i="9"/>
  <c r="B37" i="9"/>
  <c r="B35" i="9"/>
  <c r="B32" i="9"/>
  <c r="B31" i="9"/>
  <c r="B30" i="9"/>
  <c r="B29" i="9"/>
  <c r="B28" i="9"/>
  <c r="B27" i="9"/>
  <c r="B26" i="9"/>
  <c r="B25" i="9"/>
  <c r="B24" i="9"/>
  <c r="B23" i="9"/>
  <c r="B22" i="9"/>
  <c r="B21" i="9"/>
  <c r="B20" i="9"/>
  <c r="B19" i="9"/>
  <c r="B18" i="9"/>
  <c r="B17" i="9"/>
  <c r="B16" i="9"/>
  <c r="B15" i="9"/>
  <c r="B14" i="9"/>
  <c r="B13" i="9"/>
  <c r="B12" i="9"/>
  <c r="B11" i="9"/>
  <c r="B10" i="9"/>
  <c r="B9" i="9"/>
  <c r="B8" i="9"/>
  <c r="B7" i="9"/>
  <c r="B6" i="9"/>
  <c r="A1" i="3"/>
  <c r="A35" i="7"/>
  <c r="A36" i="7"/>
  <c r="A33" i="7"/>
  <c r="A26" i="7"/>
  <c r="G171" i="4"/>
  <c r="G170" i="4"/>
  <c r="G199" i="4"/>
  <c r="G198" i="4"/>
  <c r="G197" i="4"/>
  <c r="G196" i="4"/>
  <c r="G195" i="4"/>
  <c r="P171" i="4"/>
  <c r="L171" i="4"/>
  <c r="X170" i="4"/>
  <c r="T170" i="4"/>
  <c r="P170" i="4"/>
  <c r="L170" i="4"/>
  <c r="X169" i="4"/>
  <c r="T169" i="4"/>
  <c r="P169" i="4"/>
  <c r="L169" i="4"/>
  <c r="X168" i="4"/>
  <c r="T168" i="4"/>
  <c r="P168" i="4"/>
  <c r="L168" i="4"/>
  <c r="X167" i="4"/>
  <c r="T167" i="4"/>
  <c r="P167" i="4"/>
  <c r="L167" i="4"/>
  <c r="X189" i="4"/>
  <c r="T189" i="4"/>
  <c r="P189" i="4"/>
  <c r="L189" i="4"/>
  <c r="G189" i="4"/>
  <c r="X188" i="4"/>
  <c r="T188" i="4"/>
  <c r="P188" i="4"/>
  <c r="L188" i="4"/>
  <c r="G188" i="4"/>
  <c r="X187" i="4"/>
  <c r="T187" i="4"/>
  <c r="P187" i="4"/>
  <c r="L187" i="4"/>
  <c r="G187" i="4"/>
  <c r="X186" i="4"/>
  <c r="T186" i="4"/>
  <c r="P186" i="4"/>
  <c r="L186" i="4"/>
  <c r="G186" i="4"/>
  <c r="X185" i="4"/>
  <c r="T185" i="4"/>
  <c r="P185" i="4"/>
  <c r="L185" i="4"/>
  <c r="G185" i="4"/>
  <c r="X184" i="4"/>
  <c r="T184" i="4"/>
  <c r="P184" i="4"/>
  <c r="L184" i="4"/>
  <c r="G184" i="4"/>
  <c r="X183" i="4"/>
  <c r="T183" i="4"/>
  <c r="P183" i="4"/>
  <c r="L183" i="4"/>
  <c r="G183" i="4"/>
  <c r="X182" i="4"/>
  <c r="T182" i="4"/>
  <c r="P182" i="4"/>
  <c r="L182" i="4"/>
  <c r="X181" i="4"/>
  <c r="T181" i="4"/>
  <c r="P181" i="4"/>
  <c r="L181" i="4"/>
  <c r="P64" i="4"/>
  <c r="E111" i="9"/>
  <c r="G111" i="9"/>
  <c r="F3" i="4"/>
  <c r="A51" i="7"/>
  <c r="A13" i="6"/>
  <c r="A54" i="7"/>
  <c r="A16" i="6"/>
  <c r="A53" i="7"/>
  <c r="A15" i="6"/>
  <c r="A52" i="7"/>
  <c r="A14" i="6"/>
  <c r="A50" i="7"/>
  <c r="A12" i="6"/>
  <c r="A48" i="7"/>
  <c r="A10" i="6"/>
  <c r="A46" i="7"/>
  <c r="A8" i="6"/>
  <c r="A25" i="7"/>
  <c r="A34" i="7"/>
  <c r="A32" i="7"/>
  <c r="A31" i="7"/>
  <c r="A30" i="7"/>
  <c r="A29" i="7"/>
  <c r="A28" i="7"/>
  <c r="A27" i="7"/>
  <c r="A37" i="7"/>
  <c r="A21" i="7"/>
  <c r="A20" i="7"/>
  <c r="A19" i="7"/>
  <c r="A18" i="7"/>
  <c r="A17" i="7"/>
  <c r="A16" i="7"/>
  <c r="A15" i="7"/>
  <c r="A14" i="7"/>
  <c r="A13" i="7"/>
  <c r="A12" i="7"/>
  <c r="A11" i="7"/>
  <c r="A10" i="7"/>
  <c r="A9" i="7"/>
  <c r="A8" i="7"/>
  <c r="A7" i="7"/>
  <c r="A6" i="7"/>
  <c r="A5" i="7"/>
  <c r="A44" i="7"/>
  <c r="A39" i="7"/>
  <c r="A6" i="6"/>
  <c r="A23" i="7"/>
  <c r="A5" i="6"/>
  <c r="A3" i="7"/>
  <c r="A4" i="6"/>
  <c r="F2" i="4"/>
  <c r="L22" i="4"/>
  <c r="I75" i="4"/>
  <c r="W75" i="4"/>
  <c r="L27" i="4"/>
  <c r="L218" i="4"/>
  <c r="L217" i="4"/>
  <c r="L216" i="4"/>
  <c r="L215" i="4"/>
  <c r="L213" i="4"/>
  <c r="L212" i="4"/>
  <c r="L211" i="4"/>
  <c r="L210" i="4"/>
  <c r="L209" i="4"/>
  <c r="L194" i="4"/>
  <c r="L193" i="4"/>
  <c r="L192" i="4"/>
  <c r="L191" i="4"/>
  <c r="L190" i="4"/>
  <c r="L180" i="4"/>
  <c r="L179" i="4"/>
  <c r="L178" i="4"/>
  <c r="L177" i="4"/>
  <c r="L176" i="4"/>
  <c r="L175" i="4"/>
  <c r="L174" i="4"/>
  <c r="L173" i="4"/>
  <c r="L172" i="4"/>
  <c r="L166" i="4"/>
  <c r="L165" i="4"/>
  <c r="L164" i="4"/>
  <c r="L163" i="4"/>
  <c r="L162" i="4"/>
  <c r="L161" i="4"/>
  <c r="L160" i="4"/>
  <c r="L159" i="4"/>
  <c r="L158" i="4"/>
  <c r="L157" i="4"/>
  <c r="L156" i="4"/>
  <c r="L155" i="4"/>
  <c r="L154" i="4"/>
  <c r="L153" i="4"/>
  <c r="L152" i="4"/>
  <c r="L151" i="4"/>
  <c r="L150" i="4"/>
  <c r="L149" i="4"/>
  <c r="L148" i="4"/>
  <c r="L147" i="4"/>
  <c r="L146" i="4"/>
  <c r="L145" i="4"/>
  <c r="L120" i="4"/>
  <c r="L119" i="4"/>
  <c r="L118" i="4"/>
  <c r="L117" i="4"/>
  <c r="L116" i="4"/>
  <c r="L115" i="4"/>
  <c r="L114" i="4"/>
  <c r="L113" i="4"/>
  <c r="L112" i="4"/>
  <c r="L111" i="4"/>
  <c r="L110" i="4"/>
  <c r="L107" i="4"/>
  <c r="L106" i="4"/>
  <c r="L105" i="4"/>
  <c r="L104" i="4"/>
  <c r="L103" i="4"/>
  <c r="L102" i="4"/>
  <c r="L101" i="4"/>
  <c r="L100" i="4"/>
  <c r="L99" i="4"/>
  <c r="L98" i="4"/>
  <c r="L97" i="4"/>
  <c r="L96" i="4"/>
  <c r="L95" i="4"/>
  <c r="L94" i="4"/>
  <c r="L93" i="4"/>
  <c r="L92" i="4"/>
  <c r="L204" i="4"/>
  <c r="L203" i="4"/>
  <c r="L202" i="4"/>
  <c r="L201" i="4"/>
  <c r="L200" i="4"/>
  <c r="L87" i="4"/>
  <c r="L80" i="4"/>
  <c r="L77" i="4"/>
  <c r="L76" i="4"/>
  <c r="L75" i="4"/>
  <c r="L74" i="4"/>
  <c r="L73" i="4"/>
  <c r="L71" i="4"/>
  <c r="L69" i="4"/>
  <c r="L68" i="4"/>
  <c r="L67" i="4"/>
  <c r="L66" i="4"/>
  <c r="L65" i="4"/>
  <c r="L64" i="4"/>
  <c r="L63" i="4"/>
  <c r="L62" i="4"/>
  <c r="L60" i="4"/>
  <c r="L59" i="4"/>
  <c r="L58" i="4"/>
  <c r="L57" i="4"/>
  <c r="L56" i="4"/>
  <c r="L55" i="4"/>
  <c r="L54" i="4"/>
  <c r="L53" i="4"/>
  <c r="L52" i="4"/>
  <c r="L50" i="4"/>
  <c r="L49" i="4"/>
  <c r="L47" i="4"/>
  <c r="L46" i="4"/>
  <c r="L45" i="4"/>
  <c r="L43" i="4"/>
  <c r="L40" i="4"/>
  <c r="L39" i="4"/>
  <c r="L36" i="4"/>
  <c r="L35" i="4"/>
  <c r="L32" i="4"/>
  <c r="L31" i="4"/>
  <c r="L28" i="4"/>
  <c r="L24" i="4"/>
  <c r="L23" i="4"/>
  <c r="L19" i="4"/>
  <c r="L18" i="4"/>
  <c r="L15" i="4"/>
  <c r="G60" i="4"/>
  <c r="G57" i="4"/>
  <c r="G56" i="4"/>
  <c r="G54" i="4"/>
  <c r="G53" i="4"/>
  <c r="G52" i="4"/>
  <c r="G49" i="4"/>
  <c r="G46" i="4"/>
  <c r="G80" i="4"/>
  <c r="G78" i="4"/>
  <c r="G73" i="4"/>
  <c r="G71" i="4"/>
  <c r="G69" i="4"/>
  <c r="G68" i="4"/>
  <c r="G67" i="4"/>
  <c r="G66" i="4"/>
  <c r="G64" i="4"/>
  <c r="G63" i="4"/>
  <c r="G87" i="4"/>
  <c r="G226" i="4"/>
  <c r="G227" i="4"/>
  <c r="G229" i="4"/>
  <c r="G43" i="4"/>
  <c r="G42" i="4"/>
  <c r="G40" i="4"/>
  <c r="G39" i="4"/>
  <c r="G38" i="4"/>
  <c r="G36" i="4"/>
  <c r="G35" i="4"/>
  <c r="G34" i="4"/>
  <c r="G32" i="4"/>
  <c r="G31" i="4"/>
  <c r="G30" i="4"/>
  <c r="G28" i="4"/>
  <c r="G27" i="4"/>
  <c r="G26" i="4"/>
  <c r="G24" i="4"/>
  <c r="G23" i="4"/>
  <c r="G22" i="4"/>
  <c r="G21" i="4"/>
  <c r="G19" i="4"/>
  <c r="G18" i="4"/>
  <c r="G16" i="4"/>
  <c r="G15" i="4"/>
  <c r="G10" i="4"/>
  <c r="G9" i="4"/>
  <c r="G8" i="4"/>
  <c r="G218" i="4"/>
  <c r="G217" i="4"/>
  <c r="G216" i="4"/>
  <c r="G215" i="4"/>
  <c r="G213" i="4"/>
  <c r="G212" i="4"/>
  <c r="G194" i="4"/>
  <c r="G193" i="4"/>
  <c r="G192" i="4"/>
  <c r="G180" i="4"/>
  <c r="G179" i="4"/>
  <c r="G178" i="4"/>
  <c r="G177" i="4"/>
  <c r="G176" i="4"/>
  <c r="G175" i="4"/>
  <c r="G174" i="4"/>
  <c r="G166" i="4"/>
  <c r="G165" i="4"/>
  <c r="G164" i="4"/>
  <c r="E54" i="9"/>
  <c r="G54" i="9"/>
  <c r="G163" i="4"/>
  <c r="G162" i="4"/>
  <c r="G161" i="4"/>
  <c r="G160" i="4"/>
  <c r="G159" i="4"/>
  <c r="G157" i="4"/>
  <c r="G156" i="4"/>
  <c r="G155" i="4"/>
  <c r="G154" i="4"/>
  <c r="G153" i="4"/>
  <c r="G152" i="4"/>
  <c r="G151" i="4"/>
  <c r="G148" i="4"/>
  <c r="G147" i="4"/>
  <c r="G120" i="4"/>
  <c r="G119" i="4"/>
  <c r="G118" i="4"/>
  <c r="G117" i="4"/>
  <c r="G116" i="4"/>
  <c r="G115" i="4"/>
  <c r="G114" i="4"/>
  <c r="G107" i="4"/>
  <c r="G106" i="4"/>
  <c r="G105" i="4"/>
  <c r="G104" i="4"/>
  <c r="G103" i="4"/>
  <c r="G101" i="4"/>
  <c r="G100" i="4"/>
  <c r="G99" i="4"/>
  <c r="G97" i="4"/>
  <c r="G96" i="4"/>
  <c r="G95" i="4"/>
  <c r="G94" i="4"/>
  <c r="G93" i="4"/>
  <c r="G92" i="4"/>
  <c r="G204" i="4"/>
  <c r="G203" i="4"/>
  <c r="G202" i="4"/>
  <c r="G201" i="4"/>
  <c r="T79" i="4"/>
  <c r="X75" i="4"/>
  <c r="E141" i="9"/>
  <c r="G141" i="9"/>
  <c r="G142" i="9"/>
  <c r="E142" i="9"/>
  <c r="G48" i="4"/>
  <c r="X71" i="4"/>
  <c r="T71" i="4"/>
  <c r="P71" i="4"/>
  <c r="V74" i="4"/>
  <c r="P76" i="4"/>
  <c r="E113" i="9"/>
  <c r="G113" i="9"/>
  <c r="X76" i="4"/>
  <c r="T76" i="4"/>
  <c r="P79" i="4"/>
  <c r="E116" i="9"/>
  <c r="G116" i="9"/>
  <c r="P75" i="4"/>
  <c r="T73" i="4"/>
  <c r="X72" i="4"/>
  <c r="T72" i="4"/>
  <c r="P72" i="4"/>
  <c r="X70" i="4"/>
  <c r="T70" i="4"/>
  <c r="P70" i="4"/>
  <c r="P14" i="4"/>
  <c r="P13" i="4"/>
  <c r="E105" i="9"/>
  <c r="G105" i="9"/>
  <c r="P12" i="4"/>
  <c r="E104" i="9"/>
  <c r="G104" i="9"/>
  <c r="X14" i="4"/>
  <c r="T14" i="4"/>
  <c r="X13" i="4"/>
  <c r="T13" i="4"/>
  <c r="X12" i="4"/>
  <c r="T12" i="4"/>
  <c r="P62" i="4"/>
  <c r="E109" i="9"/>
  <c r="G109" i="9"/>
  <c r="T62" i="4"/>
  <c r="X62" i="4"/>
  <c r="P63" i="4"/>
  <c r="E110" i="9"/>
  <c r="G110" i="9"/>
  <c r="T63" i="4"/>
  <c r="X63" i="4"/>
  <c r="T64" i="4"/>
  <c r="X64" i="4"/>
  <c r="T65" i="4"/>
  <c r="X65" i="4"/>
  <c r="P66" i="4"/>
  <c r="T66" i="4"/>
  <c r="X66" i="4"/>
  <c r="P67" i="4"/>
  <c r="T67" i="4"/>
  <c r="X67" i="4"/>
  <c r="P68" i="4"/>
  <c r="T68" i="4"/>
  <c r="X68" i="4"/>
  <c r="P69" i="4"/>
  <c r="T69" i="4"/>
  <c r="X69" i="4"/>
  <c r="P74" i="4"/>
  <c r="P77" i="4"/>
  <c r="E114" i="9"/>
  <c r="G114" i="9"/>
  <c r="P78" i="4"/>
  <c r="E115" i="9"/>
  <c r="G115" i="9"/>
  <c r="P50" i="4"/>
  <c r="E107" i="9"/>
  <c r="G107" i="9"/>
  <c r="T50" i="4"/>
  <c r="X50" i="4"/>
  <c r="P51" i="4"/>
  <c r="E108" i="9"/>
  <c r="G108" i="9"/>
  <c r="T51" i="4"/>
  <c r="X51" i="4"/>
  <c r="P52" i="4"/>
  <c r="T52" i="4"/>
  <c r="X52" i="4"/>
  <c r="T53" i="4"/>
  <c r="X53" i="4"/>
  <c r="T74" i="4"/>
  <c r="X80" i="4"/>
  <c r="T80" i="4"/>
  <c r="X78" i="4"/>
  <c r="T78" i="4"/>
  <c r="X77" i="4"/>
  <c r="T77" i="4"/>
  <c r="X57" i="4"/>
  <c r="T57" i="4"/>
  <c r="P57" i="4"/>
  <c r="X58" i="4"/>
  <c r="T58" i="4"/>
  <c r="P58" i="4"/>
  <c r="X46" i="4"/>
  <c r="T46" i="4"/>
  <c r="P46" i="4"/>
  <c r="X18" i="4"/>
  <c r="T18" i="4"/>
  <c r="P18" i="4"/>
  <c r="X26" i="4"/>
  <c r="T26" i="4"/>
  <c r="P26" i="4"/>
  <c r="X43" i="4"/>
  <c r="T43" i="4"/>
  <c r="P43" i="4"/>
  <c r="X42" i="4"/>
  <c r="T42" i="4"/>
  <c r="P42" i="4"/>
  <c r="X41" i="4"/>
  <c r="T41" i="4"/>
  <c r="P41" i="4"/>
  <c r="X40" i="4"/>
  <c r="T40" i="4"/>
  <c r="P40" i="4"/>
  <c r="X37" i="4"/>
  <c r="T37" i="4"/>
  <c r="P37" i="4"/>
  <c r="X36" i="4"/>
  <c r="T36" i="4"/>
  <c r="P36" i="4"/>
  <c r="X33" i="4"/>
  <c r="T33" i="4"/>
  <c r="P33" i="4"/>
  <c r="X32" i="4"/>
  <c r="T32" i="4"/>
  <c r="P32" i="4"/>
  <c r="X29" i="4"/>
  <c r="T29" i="4"/>
  <c r="P29" i="4"/>
  <c r="X28" i="4"/>
  <c r="T28" i="4"/>
  <c r="P28" i="4"/>
  <c r="X25" i="4"/>
  <c r="T25" i="4"/>
  <c r="P25" i="4"/>
  <c r="X21" i="4"/>
  <c r="T21" i="4"/>
  <c r="P21" i="4"/>
  <c r="X24" i="4"/>
  <c r="T24" i="4"/>
  <c r="P24" i="4"/>
  <c r="P7" i="4"/>
  <c r="E103" i="9"/>
  <c r="G103" i="9"/>
  <c r="P218" i="4"/>
  <c r="X217" i="4"/>
  <c r="T217" i="4"/>
  <c r="P217" i="4"/>
  <c r="X216" i="4"/>
  <c r="T216" i="4"/>
  <c r="P216" i="4"/>
  <c r="X215" i="4"/>
  <c r="T215" i="4"/>
  <c r="P215" i="4"/>
  <c r="X214" i="4"/>
  <c r="T214" i="4"/>
  <c r="P214" i="4"/>
  <c r="P213" i="4"/>
  <c r="X212" i="4"/>
  <c r="T212" i="4"/>
  <c r="P212" i="4"/>
  <c r="X211" i="4"/>
  <c r="T211" i="4"/>
  <c r="P211" i="4"/>
  <c r="X210" i="4"/>
  <c r="T210" i="4"/>
  <c r="P210" i="4"/>
  <c r="X209" i="4"/>
  <c r="T209" i="4"/>
  <c r="E136" i="9"/>
  <c r="P209" i="4"/>
  <c r="E131" i="9"/>
  <c r="G131" i="9"/>
  <c r="P85" i="4"/>
  <c r="E117" i="9"/>
  <c r="G117" i="9"/>
  <c r="P49" i="4"/>
  <c r="X231" i="4"/>
  <c r="T231" i="4"/>
  <c r="P231" i="4"/>
  <c r="L231" i="4"/>
  <c r="B15" i="6"/>
  <c r="X230" i="4"/>
  <c r="T230" i="4"/>
  <c r="P230" i="4"/>
  <c r="L230" i="4"/>
  <c r="B14" i="6"/>
  <c r="X229" i="4"/>
  <c r="T229" i="4"/>
  <c r="P229" i="4"/>
  <c r="L229" i="4"/>
  <c r="X228" i="4"/>
  <c r="T228" i="4"/>
  <c r="P228" i="4"/>
  <c r="L228" i="4"/>
  <c r="X227" i="4"/>
  <c r="T227" i="4"/>
  <c r="P227" i="4"/>
  <c r="L227" i="4"/>
  <c r="X226" i="4"/>
  <c r="T226" i="4"/>
  <c r="P226" i="4"/>
  <c r="L226" i="4"/>
  <c r="X225" i="4"/>
  <c r="T225" i="4"/>
  <c r="P225" i="4"/>
  <c r="L225" i="4"/>
  <c r="X223" i="4"/>
  <c r="T223" i="4"/>
  <c r="P223" i="4"/>
  <c r="L223" i="4"/>
  <c r="X221" i="4"/>
  <c r="T221" i="4"/>
  <c r="P221" i="4"/>
  <c r="L221" i="4"/>
  <c r="B29" i="3"/>
  <c r="C29" i="3"/>
  <c r="B30" i="3"/>
  <c r="C30" i="3"/>
  <c r="B226" i="4"/>
  <c r="B28" i="3"/>
  <c r="C28" i="3"/>
  <c r="X145" i="4"/>
  <c r="T145" i="4"/>
  <c r="P145" i="4"/>
  <c r="X144" i="4"/>
  <c r="T144" i="4"/>
  <c r="P144" i="4"/>
  <c r="X143" i="4"/>
  <c r="T143" i="4"/>
  <c r="X82" i="4"/>
  <c r="T82" i="4"/>
  <c r="P82" i="4"/>
  <c r="L82" i="4"/>
  <c r="G82" i="4"/>
  <c r="X81" i="4"/>
  <c r="T81" i="4"/>
  <c r="P81" i="4"/>
  <c r="L81" i="4"/>
  <c r="G81" i="4"/>
  <c r="P193" i="4"/>
  <c r="E130" i="9"/>
  <c r="G130" i="9"/>
  <c r="P192" i="4"/>
  <c r="E129" i="9"/>
  <c r="G129" i="9"/>
  <c r="P191" i="4"/>
  <c r="E128" i="9"/>
  <c r="G128" i="9"/>
  <c r="X60" i="4"/>
  <c r="T60" i="4"/>
  <c r="P60" i="4"/>
  <c r="X59" i="4"/>
  <c r="T59" i="4"/>
  <c r="P59" i="4"/>
  <c r="X55" i="4"/>
  <c r="T55" i="4"/>
  <c r="P55" i="4"/>
  <c r="X54" i="4"/>
  <c r="T54" i="4"/>
  <c r="P54" i="4"/>
  <c r="X49" i="4"/>
  <c r="T49" i="4"/>
  <c r="X45" i="4"/>
  <c r="T45" i="4"/>
  <c r="P45" i="4"/>
  <c r="E106" i="9"/>
  <c r="G106" i="9"/>
  <c r="X20" i="4"/>
  <c r="T20" i="4"/>
  <c r="P20" i="4"/>
  <c r="X16" i="4"/>
  <c r="T16" i="4"/>
  <c r="P16" i="4"/>
  <c r="X10" i="4"/>
  <c r="T10" i="4"/>
  <c r="P10" i="4"/>
  <c r="X9" i="4"/>
  <c r="T9" i="4"/>
  <c r="P9" i="4"/>
  <c r="X8" i="4"/>
  <c r="T8" i="4"/>
  <c r="P8" i="4"/>
  <c r="X7" i="4"/>
  <c r="T7" i="4"/>
  <c r="X86" i="4"/>
  <c r="T86" i="4"/>
  <c r="P86" i="4"/>
  <c r="X85" i="4"/>
  <c r="T85" i="4"/>
  <c r="X84" i="4"/>
  <c r="T84" i="4"/>
  <c r="P84" i="4"/>
  <c r="A88" i="4"/>
  <c r="D173" i="4"/>
  <c r="G173" i="4"/>
  <c r="E43" i="9"/>
  <c r="G43" i="9"/>
  <c r="X198" i="4"/>
  <c r="T198" i="4"/>
  <c r="P198" i="4"/>
  <c r="L198" i="4"/>
  <c r="X197" i="4"/>
  <c r="T197" i="4"/>
  <c r="P197" i="4"/>
  <c r="L197" i="4"/>
  <c r="X196" i="4"/>
  <c r="T196" i="4"/>
  <c r="P196" i="4"/>
  <c r="L196" i="4"/>
  <c r="X195" i="4"/>
  <c r="T195" i="4"/>
  <c r="P195" i="4"/>
  <c r="L195" i="4"/>
  <c r="X194" i="4"/>
  <c r="T194" i="4"/>
  <c r="P194" i="4"/>
  <c r="X193" i="4"/>
  <c r="T193" i="4"/>
  <c r="X192" i="4"/>
  <c r="T192" i="4"/>
  <c r="X191" i="4"/>
  <c r="T191" i="4"/>
  <c r="X190" i="4"/>
  <c r="T190" i="4"/>
  <c r="P190" i="4"/>
  <c r="E127" i="9"/>
  <c r="G127" i="9"/>
  <c r="X180" i="4"/>
  <c r="T180" i="4"/>
  <c r="P180" i="4"/>
  <c r="X179" i="4"/>
  <c r="T179" i="4"/>
  <c r="P179" i="4"/>
  <c r="X178" i="4"/>
  <c r="T178" i="4"/>
  <c r="P178" i="4"/>
  <c r="X177" i="4"/>
  <c r="T177" i="4"/>
  <c r="P177" i="4"/>
  <c r="X176" i="4"/>
  <c r="T176" i="4"/>
  <c r="P176" i="4"/>
  <c r="X175" i="4"/>
  <c r="T175" i="4"/>
  <c r="P175" i="4"/>
  <c r="X174" i="4"/>
  <c r="T174" i="4"/>
  <c r="P174" i="4"/>
  <c r="X173" i="4"/>
  <c r="T173" i="4"/>
  <c r="P173" i="4"/>
  <c r="X172" i="4"/>
  <c r="T172" i="4"/>
  <c r="P172" i="4"/>
  <c r="E126" i="9"/>
  <c r="G126" i="9"/>
  <c r="X166" i="4"/>
  <c r="T166" i="4"/>
  <c r="P166" i="4"/>
  <c r="X165" i="4"/>
  <c r="T165" i="4"/>
  <c r="P165" i="4"/>
  <c r="X164" i="4"/>
  <c r="T164" i="4"/>
  <c r="P164" i="4"/>
  <c r="X163" i="4"/>
  <c r="T163" i="4"/>
  <c r="P163" i="4"/>
  <c r="X162" i="4"/>
  <c r="T162" i="4"/>
  <c r="P162" i="4"/>
  <c r="X161" i="4"/>
  <c r="T161" i="4"/>
  <c r="P161" i="4"/>
  <c r="X160" i="4"/>
  <c r="T160" i="4"/>
  <c r="P160" i="4"/>
  <c r="X159" i="4"/>
  <c r="T159" i="4"/>
  <c r="P159" i="4"/>
  <c r="X158" i="4"/>
  <c r="T158" i="4"/>
  <c r="P158" i="4"/>
  <c r="X157" i="4"/>
  <c r="T157" i="4"/>
  <c r="P157" i="4"/>
  <c r="X156" i="4"/>
  <c r="T156" i="4"/>
  <c r="P156" i="4"/>
  <c r="X155" i="4"/>
  <c r="T155" i="4"/>
  <c r="P155" i="4"/>
  <c r="X154" i="4"/>
  <c r="T154" i="4"/>
  <c r="P154" i="4"/>
  <c r="X153" i="4"/>
  <c r="T153" i="4"/>
  <c r="P153" i="4"/>
  <c r="X152" i="4"/>
  <c r="T152" i="4"/>
  <c r="P152" i="4"/>
  <c r="X151" i="4"/>
  <c r="T151" i="4"/>
  <c r="P151" i="4"/>
  <c r="X150" i="4"/>
  <c r="T150" i="4"/>
  <c r="P150" i="4"/>
  <c r="E125" i="9"/>
  <c r="G125" i="9"/>
  <c r="X149" i="4"/>
  <c r="T149" i="4"/>
  <c r="P149" i="4"/>
  <c r="X120" i="4"/>
  <c r="X119" i="4"/>
  <c r="X118" i="4"/>
  <c r="X117" i="4"/>
  <c r="X116" i="4"/>
  <c r="X115" i="4"/>
  <c r="X114" i="4"/>
  <c r="X113" i="4"/>
  <c r="X112" i="4"/>
  <c r="X111" i="4"/>
  <c r="X107" i="4"/>
  <c r="X106" i="4"/>
  <c r="X105" i="4"/>
  <c r="X104" i="4"/>
  <c r="X103" i="4"/>
  <c r="X102" i="4"/>
  <c r="X101" i="4"/>
  <c r="X100" i="4"/>
  <c r="X99" i="4"/>
  <c r="X98" i="4"/>
  <c r="X97" i="4"/>
  <c r="X96" i="4"/>
  <c r="X95" i="4"/>
  <c r="X94" i="4"/>
  <c r="X93" i="4"/>
  <c r="X92" i="4"/>
  <c r="X203" i="4"/>
  <c r="X202" i="4"/>
  <c r="X201" i="4"/>
  <c r="X200" i="4"/>
  <c r="X234" i="4"/>
  <c r="B15" i="3"/>
  <c r="X110" i="4"/>
  <c r="B137" i="9"/>
  <c r="A60" i="9"/>
  <c r="A61" i="9"/>
  <c r="A62" i="9"/>
  <c r="A63" i="9"/>
  <c r="A136" i="9"/>
  <c r="A137" i="9"/>
  <c r="A64" i="9"/>
  <c r="A65" i="9"/>
  <c r="A66" i="9"/>
  <c r="A67" i="9"/>
  <c r="A68" i="9"/>
  <c r="A69" i="9"/>
  <c r="A70" i="9"/>
  <c r="A71" i="9"/>
  <c r="A72" i="9"/>
  <c r="A73" i="9"/>
  <c r="A74" i="9"/>
  <c r="A75" i="9"/>
  <c r="A76" i="9"/>
  <c r="A77" i="9"/>
  <c r="A78" i="9"/>
  <c r="A79" i="9"/>
  <c r="A80" i="9"/>
  <c r="A81" i="9"/>
  <c r="A82" i="9"/>
  <c r="A83" i="9"/>
  <c r="A84" i="9"/>
  <c r="A85" i="9"/>
  <c r="A86" i="9"/>
  <c r="A87" i="9"/>
  <c r="A88" i="9"/>
  <c r="A89" i="9"/>
  <c r="A90" i="9"/>
  <c r="A91" i="9"/>
  <c r="A92" i="9"/>
  <c r="A93" i="9"/>
  <c r="A94" i="9"/>
  <c r="A95" i="9"/>
  <c r="A96" i="9"/>
  <c r="A97" i="9"/>
  <c r="A98" i="9"/>
  <c r="A132" i="9"/>
  <c r="A99" i="9"/>
  <c r="A6" i="11"/>
  <c r="A20" i="11"/>
  <c r="A17" i="11"/>
  <c r="A22" i="11"/>
  <c r="A21" i="11"/>
  <c r="A19" i="11"/>
  <c r="A18" i="11"/>
  <c r="A16" i="11"/>
  <c r="A15" i="11"/>
  <c r="A14" i="11"/>
  <c r="A13" i="11"/>
  <c r="A12" i="11"/>
  <c r="A11" i="11"/>
  <c r="A5" i="11"/>
  <c r="A10" i="11"/>
  <c r="A9" i="11"/>
  <c r="A7" i="11"/>
  <c r="A8" i="11"/>
  <c r="E121" i="9"/>
  <c r="G121" i="9"/>
  <c r="E122" i="9"/>
  <c r="G122" i="9"/>
  <c r="E123" i="9"/>
  <c r="G123" i="9"/>
  <c r="P143" i="4"/>
  <c r="E124" i="9"/>
  <c r="G124" i="9"/>
  <c r="P98" i="4"/>
  <c r="E118" i="9"/>
  <c r="G118" i="9"/>
  <c r="T98" i="4"/>
  <c r="P99" i="4"/>
  <c r="T99" i="4"/>
  <c r="P100" i="4"/>
  <c r="T100" i="4"/>
  <c r="P101" i="4"/>
  <c r="T101" i="4"/>
  <c r="P102" i="4"/>
  <c r="T102" i="4"/>
  <c r="P103" i="4"/>
  <c r="T103" i="4"/>
  <c r="P104" i="4"/>
  <c r="T104" i="4"/>
  <c r="P105" i="4"/>
  <c r="T105" i="4"/>
  <c r="P106" i="4"/>
  <c r="T106" i="4"/>
  <c r="P107" i="4"/>
  <c r="T107" i="4"/>
  <c r="B19" i="11"/>
  <c r="E120" i="9"/>
  <c r="G120" i="9"/>
  <c r="T113" i="4"/>
  <c r="T112" i="4"/>
  <c r="T110" i="4"/>
  <c r="P111" i="4"/>
  <c r="E119" i="9"/>
  <c r="G119" i="9"/>
  <c r="P204" i="4"/>
  <c r="B3" i="10"/>
  <c r="D182" i="4"/>
  <c r="G182" i="4"/>
  <c r="E45" i="9"/>
  <c r="G45" i="9"/>
  <c r="D20" i="4"/>
  <c r="G20" i="4"/>
  <c r="E8" i="9"/>
  <c r="G8" i="9"/>
  <c r="D211" i="4"/>
  <c r="G211" i="4"/>
  <c r="E51" i="9"/>
  <c r="G51" i="9"/>
  <c r="D59" i="4"/>
  <c r="G59" i="4"/>
  <c r="E15" i="9"/>
  <c r="G15" i="9"/>
  <c r="D51" i="4"/>
  <c r="D62" i="4"/>
  <c r="G62" i="4"/>
  <c r="E16" i="9"/>
  <c r="G16" i="9"/>
  <c r="D12" i="4"/>
  <c r="G12" i="4"/>
  <c r="E7" i="9"/>
  <c r="G7" i="9"/>
  <c r="D47" i="4"/>
  <c r="G47" i="4"/>
  <c r="E10" i="9"/>
  <c r="G10" i="9"/>
  <c r="D225" i="4"/>
  <c r="G225" i="4"/>
  <c r="D223" i="4"/>
  <c r="G223" i="4"/>
  <c r="G221" i="4"/>
  <c r="B8" i="10"/>
  <c r="D8" i="10"/>
  <c r="G79" i="4"/>
  <c r="G75" i="4"/>
  <c r="G37" i="4"/>
  <c r="G25" i="4"/>
  <c r="G41" i="4"/>
  <c r="G14" i="4"/>
  <c r="D77" i="4"/>
  <c r="G77" i="4"/>
  <c r="E19" i="9"/>
  <c r="G19" i="9"/>
  <c r="D74" i="4"/>
  <c r="G74" i="4"/>
  <c r="E17" i="9"/>
  <c r="G17" i="9"/>
  <c r="G70" i="4"/>
  <c r="G33" i="4"/>
  <c r="G13" i="4"/>
  <c r="G17" i="4"/>
  <c r="G72" i="4"/>
  <c r="G65" i="4"/>
  <c r="D76" i="4"/>
  <c r="G76" i="4"/>
  <c r="E18" i="9"/>
  <c r="G18" i="9"/>
  <c r="G29" i="4"/>
  <c r="G86" i="4"/>
  <c r="D190" i="4"/>
  <c r="G190" i="4"/>
  <c r="E29" i="9"/>
  <c r="G29" i="9"/>
  <c r="C5" i="10"/>
  <c r="D5" i="10"/>
  <c r="B5" i="10"/>
  <c r="E4" i="10"/>
  <c r="C4" i="10"/>
  <c r="D4" i="10"/>
  <c r="I214" i="4"/>
  <c r="B4" i="10"/>
  <c r="D3" i="10"/>
  <c r="C2" i="10"/>
  <c r="D2" i="10"/>
  <c r="B2" i="10"/>
  <c r="E46" i="9"/>
  <c r="G46" i="9"/>
  <c r="D167" i="4"/>
  <c r="G167" i="4"/>
  <c r="E39" i="9"/>
  <c r="G39" i="9"/>
  <c r="D169" i="4"/>
  <c r="G169" i="4"/>
  <c r="E41" i="9"/>
  <c r="G41" i="9"/>
  <c r="D168" i="4"/>
  <c r="G168" i="4"/>
  <c r="E40" i="9"/>
  <c r="G40" i="9"/>
  <c r="D113" i="4"/>
  <c r="G113" i="4"/>
  <c r="E26" i="9"/>
  <c r="G26" i="9"/>
  <c r="D181" i="4"/>
  <c r="G181" i="4"/>
  <c r="D102" i="4"/>
  <c r="G102" i="4"/>
  <c r="D108" i="4"/>
  <c r="G108" i="4"/>
  <c r="E22" i="9"/>
  <c r="G22" i="9"/>
  <c r="D112" i="4"/>
  <c r="G112" i="4"/>
  <c r="E25" i="9"/>
  <c r="G25" i="9"/>
  <c r="D214" i="4"/>
  <c r="G214" i="4"/>
  <c r="E52" i="9"/>
  <c r="G52" i="9"/>
  <c r="D146" i="4"/>
  <c r="G146" i="4"/>
  <c r="E35" i="9"/>
  <c r="G35" i="9"/>
  <c r="I9" i="4"/>
  <c r="L9" i="4"/>
  <c r="I84" i="4"/>
  <c r="L84" i="4"/>
  <c r="I51" i="4"/>
  <c r="L51" i="4"/>
  <c r="I10" i="4"/>
  <c r="L10" i="4"/>
  <c r="I85" i="4"/>
  <c r="L85" i="4"/>
  <c r="D7" i="4"/>
  <c r="G7" i="4"/>
  <c r="I33" i="4"/>
  <c r="I20" i="4"/>
  <c r="L20" i="4"/>
  <c r="I25" i="4"/>
  <c r="I12" i="4"/>
  <c r="I72" i="4"/>
  <c r="L72" i="4"/>
  <c r="I48" i="4"/>
  <c r="L48" i="4"/>
  <c r="I26" i="4"/>
  <c r="L26" i="4"/>
  <c r="I86" i="4"/>
  <c r="L86" i="4"/>
  <c r="N65" i="4"/>
  <c r="P65" i="4"/>
  <c r="E112" i="9"/>
  <c r="G112" i="9"/>
  <c r="I34" i="4"/>
  <c r="L34" i="4"/>
  <c r="I79" i="4"/>
  <c r="L79" i="4"/>
  <c r="I70" i="4"/>
  <c r="L70" i="4"/>
  <c r="I38" i="4"/>
  <c r="L38" i="4"/>
  <c r="I42" i="4"/>
  <c r="L42" i="4"/>
  <c r="I30" i="4"/>
  <c r="L30" i="4"/>
  <c r="I14" i="4"/>
  <c r="L14" i="4"/>
  <c r="I13" i="4"/>
  <c r="L13" i="4"/>
  <c r="I21" i="4"/>
  <c r="L21" i="4"/>
  <c r="I17" i="4"/>
  <c r="L17" i="4"/>
  <c r="B12" i="6"/>
  <c r="B10" i="6"/>
  <c r="I16" i="4"/>
  <c r="I8" i="4"/>
  <c r="L8" i="4"/>
  <c r="I7" i="4"/>
  <c r="L7" i="4"/>
  <c r="G51" i="4"/>
  <c r="E12" i="9"/>
  <c r="G12" i="9"/>
  <c r="D50" i="4"/>
  <c r="G50" i="4"/>
  <c r="E11" i="9"/>
  <c r="G11" i="9"/>
  <c r="I41" i="4"/>
  <c r="L41" i="4"/>
  <c r="B40" i="4"/>
  <c r="D45" i="4"/>
  <c r="G45" i="4"/>
  <c r="E9" i="9"/>
  <c r="G9" i="9"/>
  <c r="I78" i="4"/>
  <c r="I29" i="4"/>
  <c r="D58" i="4"/>
  <c r="G58" i="4"/>
  <c r="E14" i="9"/>
  <c r="G14" i="9"/>
  <c r="I37" i="4"/>
  <c r="D209" i="4"/>
  <c r="G209" i="4"/>
  <c r="E49" i="9"/>
  <c r="G49" i="9"/>
  <c r="D210" i="4"/>
  <c r="G210" i="4"/>
  <c r="E50" i="9"/>
  <c r="G50" i="9"/>
  <c r="I143" i="4"/>
  <c r="L143" i="4"/>
  <c r="I144" i="4"/>
  <c r="L144" i="4"/>
  <c r="G232" i="4"/>
  <c r="E53" i="9"/>
  <c r="G53" i="9"/>
  <c r="D143" i="4"/>
  <c r="G143" i="4"/>
  <c r="E32" i="9"/>
  <c r="G32" i="9"/>
  <c r="D144" i="4"/>
  <c r="G144" i="4"/>
  <c r="E33" i="9"/>
  <c r="G33" i="9"/>
  <c r="D145" i="4"/>
  <c r="G145" i="4"/>
  <c r="E34" i="9"/>
  <c r="G34" i="9"/>
  <c r="G84" i="4"/>
  <c r="G85" i="4"/>
  <c r="D55" i="4"/>
  <c r="G55" i="4"/>
  <c r="E13" i="9"/>
  <c r="G13" i="9"/>
  <c r="D111" i="4"/>
  <c r="D110" i="4"/>
  <c r="G110" i="4"/>
  <c r="E23" i="9"/>
  <c r="G23" i="9"/>
  <c r="E30" i="9"/>
  <c r="G30" i="9"/>
  <c r="D200" i="4"/>
  <c r="G200" i="4"/>
  <c r="E48" i="9"/>
  <c r="G48" i="9"/>
  <c r="D172" i="4"/>
  <c r="D98" i="4"/>
  <c r="E31" i="9"/>
  <c r="G31" i="9"/>
  <c r="D149" i="4"/>
  <c r="G149" i="4"/>
  <c r="D191" i="4"/>
  <c r="D150" i="4"/>
  <c r="G150" i="4"/>
  <c r="E37" i="9"/>
  <c r="G37" i="9"/>
  <c r="D158" i="4"/>
  <c r="T111" i="4"/>
  <c r="E36" i="9"/>
  <c r="G36" i="9"/>
  <c r="B149" i="4"/>
  <c r="B23" i="3"/>
  <c r="B8" i="6"/>
  <c r="B62" i="4"/>
  <c r="E21" i="9"/>
  <c r="G21" i="9"/>
  <c r="B102" i="4"/>
  <c r="B27" i="3"/>
  <c r="C27" i="3"/>
  <c r="B25" i="3"/>
  <c r="C25" i="3"/>
  <c r="B181" i="4"/>
  <c r="E44" i="9"/>
  <c r="G44" i="9"/>
  <c r="E27" i="9"/>
  <c r="G27" i="9"/>
  <c r="E6" i="9"/>
  <c r="G6" i="9"/>
  <c r="B167" i="4"/>
  <c r="B70" i="4"/>
  <c r="B45" i="7"/>
  <c r="L37" i="4"/>
  <c r="B36" i="4"/>
  <c r="L33" i="4"/>
  <c r="B32" i="4"/>
  <c r="L214" i="4"/>
  <c r="B214" i="4"/>
  <c r="L29" i="4"/>
  <c r="B28" i="4"/>
  <c r="L25" i="4"/>
  <c r="B24" i="4"/>
  <c r="L12" i="4"/>
  <c r="B12" i="4"/>
  <c r="L16" i="4"/>
  <c r="B16" i="4"/>
  <c r="L78" i="4"/>
  <c r="B74" i="4"/>
  <c r="B20" i="4"/>
  <c r="G191" i="4"/>
  <c r="B190" i="4"/>
  <c r="G172" i="4"/>
  <c r="E28" i="9"/>
  <c r="G28" i="9"/>
  <c r="G158" i="4"/>
  <c r="G111" i="4"/>
  <c r="E24" i="9"/>
  <c r="G24" i="9"/>
  <c r="B57" i="4"/>
  <c r="G98" i="4"/>
  <c r="B50" i="4"/>
  <c r="B54" i="4"/>
  <c r="B45" i="4"/>
  <c r="B84" i="4"/>
  <c r="B7" i="4"/>
  <c r="B209" i="4"/>
  <c r="B143" i="4"/>
  <c r="B22" i="11"/>
  <c r="B21" i="11"/>
  <c r="B12" i="11"/>
  <c r="T119" i="4"/>
  <c r="T118" i="4"/>
  <c r="T117" i="4"/>
  <c r="T116" i="4"/>
  <c r="T115" i="4"/>
  <c r="T114" i="4"/>
  <c r="P119" i="4"/>
  <c r="P118" i="4"/>
  <c r="P117" i="4"/>
  <c r="P116" i="4"/>
  <c r="P115" i="4"/>
  <c r="P114" i="4"/>
  <c r="T96" i="4"/>
  <c r="T95" i="4"/>
  <c r="T94" i="4"/>
  <c r="T93" i="4"/>
  <c r="P97" i="4"/>
  <c r="P96" i="4"/>
  <c r="P95" i="4"/>
  <c r="P94" i="4"/>
  <c r="P93" i="4"/>
  <c r="P92" i="4"/>
  <c r="T97" i="4"/>
  <c r="T92" i="4"/>
  <c r="T203" i="4"/>
  <c r="B7" i="6"/>
  <c r="C11" i="3"/>
  <c r="B172" i="4"/>
  <c r="E42" i="9"/>
  <c r="G42" i="9"/>
  <c r="E47" i="9"/>
  <c r="G47" i="9"/>
  <c r="B158" i="4"/>
  <c r="E38" i="9"/>
  <c r="G38" i="9"/>
  <c r="E20" i="9"/>
  <c r="G20" i="9"/>
  <c r="B98" i="4"/>
  <c r="L234" i="4"/>
  <c r="B12" i="3"/>
  <c r="G3" i="4"/>
  <c r="B4" i="7"/>
  <c r="B5" i="4"/>
  <c r="B206" i="4"/>
  <c r="B10" i="11"/>
  <c r="B20" i="11"/>
  <c r="A38" i="7"/>
  <c r="A22" i="7"/>
  <c r="T120" i="4"/>
  <c r="P120" i="4"/>
  <c r="P113" i="4"/>
  <c r="P112" i="4"/>
  <c r="P110" i="4"/>
  <c r="T202" i="4"/>
  <c r="T201" i="4"/>
  <c r="G136" i="9"/>
  <c r="T200" i="4"/>
  <c r="E135" i="9"/>
  <c r="P203" i="4"/>
  <c r="P202" i="4"/>
  <c r="P201" i="4"/>
  <c r="P200" i="4"/>
  <c r="C4" i="3"/>
  <c r="T234" i="4"/>
  <c r="B14" i="3"/>
  <c r="B20" i="3"/>
  <c r="C20" i="3"/>
  <c r="B4" i="6"/>
  <c r="P234" i="4"/>
  <c r="B13" i="3"/>
  <c r="B200" i="4"/>
  <c r="B7" i="11"/>
  <c r="B109" i="4"/>
  <c r="B28" i="11"/>
  <c r="B27" i="11"/>
  <c r="B26" i="11"/>
  <c r="B25" i="11"/>
  <c r="F101" i="9"/>
  <c r="F57" i="9"/>
  <c r="A104" i="9"/>
  <c r="A105" i="9"/>
  <c r="A106" i="9"/>
  <c r="A107" i="9"/>
  <c r="A108" i="9"/>
  <c r="A109" i="9"/>
  <c r="A110" i="9"/>
  <c r="A111" i="9"/>
  <c r="A112" i="9"/>
  <c r="A113" i="9"/>
  <c r="A114" i="9"/>
  <c r="A115" i="9"/>
  <c r="A116" i="9"/>
  <c r="A117" i="9"/>
  <c r="A7" i="9"/>
  <c r="A8" i="9"/>
  <c r="A9" i="9"/>
  <c r="A10" i="9"/>
  <c r="A11" i="9"/>
  <c r="A12" i="9"/>
  <c r="A13" i="9"/>
  <c r="A14" i="9"/>
  <c r="A15" i="9"/>
  <c r="A16" i="9"/>
  <c r="A17" i="9"/>
  <c r="A18" i="9"/>
  <c r="A19" i="9"/>
  <c r="A20" i="9"/>
  <c r="A21" i="9"/>
  <c r="A22" i="9"/>
  <c r="A23" i="9"/>
  <c r="A24" i="9"/>
  <c r="A25" i="9"/>
  <c r="A26" i="9"/>
  <c r="A27" i="9"/>
  <c r="A28" i="9"/>
  <c r="A29" i="9"/>
  <c r="A30" i="9"/>
  <c r="A31" i="9"/>
  <c r="A32" i="9"/>
  <c r="A33" i="9"/>
  <c r="A34" i="9"/>
  <c r="A35" i="9"/>
  <c r="A36" i="9"/>
  <c r="A37" i="9"/>
  <c r="A38" i="9"/>
  <c r="A39" i="9"/>
  <c r="A40" i="9"/>
  <c r="A41" i="9"/>
  <c r="A42" i="9"/>
  <c r="A43" i="9"/>
  <c r="A44" i="9"/>
  <c r="A45" i="9"/>
  <c r="A46" i="9"/>
  <c r="A47" i="9"/>
  <c r="A48" i="9"/>
  <c r="A49" i="9"/>
  <c r="A50" i="9"/>
  <c r="A51" i="9"/>
  <c r="A52" i="9"/>
  <c r="A53" i="9"/>
  <c r="A54" i="9"/>
  <c r="A25" i="3"/>
  <c r="A27" i="3"/>
  <c r="A28" i="3"/>
  <c r="A23" i="3"/>
  <c r="A22" i="3"/>
  <c r="A20" i="3"/>
  <c r="A21" i="3"/>
  <c r="A118" i="9"/>
  <c r="A120" i="9"/>
  <c r="A121" i="9"/>
  <c r="A119" i="9"/>
  <c r="B24" i="7"/>
  <c r="B5" i="6"/>
  <c r="B89" i="4"/>
  <c r="B9" i="11"/>
  <c r="B8" i="11"/>
  <c r="B6" i="11"/>
  <c r="E138" i="9"/>
  <c r="G135" i="9"/>
  <c r="G138" i="9"/>
  <c r="B24" i="11"/>
  <c r="B23" i="11"/>
  <c r="B40" i="7"/>
  <c r="B6" i="6"/>
  <c r="B18" i="11"/>
  <c r="B13" i="11"/>
  <c r="B15" i="11"/>
  <c r="B14" i="11"/>
  <c r="B3" i="6"/>
  <c r="E144" i="9"/>
  <c r="G144" i="9"/>
  <c r="B22" i="3"/>
  <c r="C22" i="3"/>
  <c r="B21" i="3"/>
  <c r="C21" i="3"/>
  <c r="B5" i="11"/>
  <c r="F141" i="9"/>
  <c r="F143" i="9"/>
  <c r="G57" i="9"/>
  <c r="B11" i="11"/>
  <c r="B17" i="11"/>
  <c r="E101" i="9"/>
  <c r="G101" i="9"/>
  <c r="E57" i="9"/>
  <c r="B16" i="6"/>
  <c r="Y234" i="4"/>
  <c r="B1" i="4"/>
  <c r="E143" i="9"/>
  <c r="E145" i="9"/>
  <c r="G143" i="9"/>
  <c r="G145" i="9"/>
  <c r="H24" i="7"/>
  <c r="G24" i="7"/>
  <c r="D24" i="7"/>
  <c r="C24" i="7"/>
  <c r="L24" i="7"/>
  <c r="K24" i="7"/>
  <c r="F24" i="7"/>
  <c r="E24" i="7"/>
  <c r="J24" i="7"/>
  <c r="I24" i="7"/>
  <c r="L40" i="7"/>
  <c r="K40" i="7"/>
  <c r="H40" i="7"/>
  <c r="G40" i="7"/>
  <c r="D40" i="7"/>
  <c r="C40" i="7"/>
  <c r="J40" i="7"/>
  <c r="I40" i="7"/>
  <c r="F40" i="7"/>
  <c r="E40" i="7"/>
  <c r="J4" i="7"/>
  <c r="I4" i="7"/>
  <c r="D4" i="7"/>
  <c r="C4" i="7"/>
  <c r="L4" i="7"/>
  <c r="K4" i="7"/>
  <c r="F4" i="7"/>
  <c r="E4" i="7"/>
  <c r="H4" i="7"/>
  <c r="G4" i="7"/>
  <c r="B16" i="11"/>
  <c r="B17" i="6"/>
  <c r="C9" i="6"/>
  <c r="J54" i="7"/>
  <c r="J45" i="7"/>
  <c r="I45" i="7"/>
  <c r="B2" i="7"/>
  <c r="D54" i="7"/>
  <c r="D45" i="7"/>
  <c r="C45" i="7"/>
  <c r="H54" i="7"/>
  <c r="H45" i="7"/>
  <c r="G45" i="7"/>
  <c r="F54" i="7"/>
  <c r="F45" i="7"/>
  <c r="E45" i="7"/>
  <c r="L54" i="7"/>
  <c r="L45" i="7"/>
  <c r="K45" i="7"/>
  <c r="B4" i="11"/>
  <c r="C11" i="6"/>
  <c r="C13" i="6"/>
  <c r="C3" i="6"/>
  <c r="C5" i="6"/>
  <c r="C4" i="6"/>
  <c r="C14" i="6"/>
  <c r="C17" i="6"/>
  <c r="C12" i="6"/>
  <c r="C15" i="6"/>
  <c r="C6" i="6"/>
  <c r="C10" i="6"/>
  <c r="C8" i="6"/>
  <c r="C7" i="6"/>
  <c r="C16" i="6"/>
  <c r="J2" i="7"/>
  <c r="I2" i="7"/>
  <c r="F23" i="6"/>
  <c r="F22" i="6"/>
  <c r="L2" i="7"/>
  <c r="K2" i="7"/>
  <c r="G23" i="6"/>
  <c r="D2" i="7"/>
  <c r="C2" i="7"/>
  <c r="F2" i="7"/>
  <c r="E2" i="7"/>
  <c r="D23" i="6"/>
  <c r="D22" i="6"/>
  <c r="H2" i="7"/>
  <c r="G2" i="7"/>
  <c r="E23" i="6"/>
  <c r="E22" i="6"/>
  <c r="A122" i="9"/>
  <c r="A124" i="9"/>
  <c r="C23" i="6"/>
  <c r="M4" i="7"/>
  <c r="C22" i="6"/>
  <c r="E25" i="6"/>
  <c r="D25" i="6"/>
  <c r="H23" i="6"/>
  <c r="I22" i="6"/>
  <c r="G22" i="6"/>
  <c r="H22" i="6"/>
  <c r="B32" i="3"/>
  <c r="C32" i="3"/>
  <c r="A123" i="9"/>
  <c r="A125" i="9"/>
  <c r="A126" i="9"/>
  <c r="A127" i="9"/>
  <c r="A128" i="9"/>
  <c r="A129" i="9"/>
  <c r="A130" i="9"/>
  <c r="A131" i="9"/>
  <c r="B29" i="11"/>
  <c r="B3" i="11"/>
  <c r="C29" i="11"/>
  <c r="C23" i="11"/>
  <c r="C5" i="11"/>
  <c r="C16" i="11"/>
  <c r="C11" i="11"/>
  <c r="C4" i="11"/>
  <c r="C3" i="11"/>
  <c r="G2" i="4"/>
</calcChain>
</file>

<file path=xl/sharedStrings.xml><?xml version="1.0" encoding="utf-8"?>
<sst xmlns="http://schemas.openxmlformats.org/spreadsheetml/2006/main" count="1306" uniqueCount="358">
  <si>
    <t>Exante</t>
  </si>
  <si>
    <t xml:space="preserve">N. </t>
  </si>
  <si>
    <t>Total</t>
  </si>
  <si>
    <t>N/A</t>
  </si>
  <si>
    <t>NICQ</t>
  </si>
  <si>
    <t>%</t>
  </si>
  <si>
    <t>Adquisiciones / actividades</t>
  </si>
  <si>
    <t>Lote/Proceso No</t>
  </si>
  <si>
    <t>Método de Revisión</t>
  </si>
  <si>
    <t>Monto IDB</t>
  </si>
  <si>
    <t>Monto  Contraparte</t>
  </si>
  <si>
    <t>Monto Total</t>
  </si>
  <si>
    <t>Agencia Ejecutora</t>
  </si>
  <si>
    <t>Fecha de Publicación</t>
  </si>
  <si>
    <t>Termino del Contrato</t>
  </si>
  <si>
    <t xml:space="preserve">Fechas </t>
  </si>
  <si>
    <t>CONSULTORIAS INDIVIDUALES</t>
  </si>
  <si>
    <t>BIENES</t>
  </si>
  <si>
    <t>FIRMAS DE CONSULTORIA</t>
  </si>
  <si>
    <t>PCR</t>
  </si>
  <si>
    <t>Descripcion</t>
  </si>
  <si>
    <t>2.3      Especialistas</t>
  </si>
  <si>
    <t>2.2      Monitoreo y Evaluación</t>
  </si>
  <si>
    <t>2.4      Auditoria</t>
  </si>
  <si>
    <t>2.   Administración del proyecto</t>
  </si>
  <si>
    <t>2.1      Coordinación técnico de la ejecución</t>
  </si>
  <si>
    <t>OBRAS</t>
  </si>
  <si>
    <t>IICC</t>
  </si>
  <si>
    <t>QCBS</t>
  </si>
  <si>
    <t>Método de Adquisición/Contratacion**</t>
  </si>
  <si>
    <t>ICB</t>
  </si>
  <si>
    <t>1.    Costos Directos</t>
  </si>
  <si>
    <t>UPS 5 kva</t>
  </si>
  <si>
    <t>Cuadro 2.3. Presupuesto total del Proyecto (US$)</t>
  </si>
  <si>
    <t>Costos Totales</t>
  </si>
  <si>
    <t>3. Imprevistos</t>
  </si>
  <si>
    <t>2.5      Consultorías Técnicas</t>
  </si>
  <si>
    <t>DGA</t>
  </si>
  <si>
    <t>VMI</t>
  </si>
  <si>
    <t>DGI</t>
  </si>
  <si>
    <t>Otros Servicios Diferentes de Consultorías</t>
  </si>
  <si>
    <t>Categorías</t>
  </si>
  <si>
    <t>Component II. Strengthen the PFM</t>
  </si>
  <si>
    <t>Individual Consultancies</t>
  </si>
  <si>
    <t>Firms Consultancy</t>
  </si>
  <si>
    <t>Goods</t>
  </si>
  <si>
    <t>Construction</t>
  </si>
  <si>
    <t>M2</t>
  </si>
  <si>
    <t>Description</t>
  </si>
  <si>
    <t>Unit Amount</t>
  </si>
  <si>
    <t>Quantity</t>
  </si>
  <si>
    <t>Services different of consultancies</t>
  </si>
  <si>
    <t>Total Project</t>
  </si>
  <si>
    <t>Total Component II</t>
  </si>
  <si>
    <t>Total Project Administration</t>
  </si>
  <si>
    <t>Technical Coordinator</t>
  </si>
  <si>
    <t>Evaluation</t>
  </si>
  <si>
    <t>Audit</t>
  </si>
  <si>
    <t>Reflexive</t>
  </si>
  <si>
    <t>Impact</t>
  </si>
  <si>
    <t>One per year</t>
  </si>
  <si>
    <t>Total by Administration Categories</t>
  </si>
  <si>
    <t>Project Coordinator</t>
  </si>
  <si>
    <t>Economic</t>
  </si>
  <si>
    <t>Technical assistants</t>
  </si>
  <si>
    <t>Project Administration</t>
  </si>
  <si>
    <t>Total Product</t>
  </si>
  <si>
    <t>Year 1</t>
  </si>
  <si>
    <t>Year 2</t>
  </si>
  <si>
    <t>Year 3</t>
  </si>
  <si>
    <t>Year 4</t>
  </si>
  <si>
    <t>Year 5</t>
  </si>
  <si>
    <t>Unitary Amount</t>
  </si>
  <si>
    <t>International Lawyer</t>
  </si>
  <si>
    <t>National Lawyer</t>
  </si>
  <si>
    <t>International Consultancy</t>
  </si>
  <si>
    <t>Local consultancy</t>
  </si>
  <si>
    <t>Training consultancy</t>
  </si>
  <si>
    <t>Construction / Remodeling M2</t>
  </si>
  <si>
    <t>Data Base Servers</t>
  </si>
  <si>
    <t>Oracle License</t>
  </si>
  <si>
    <t>Storage type San</t>
  </si>
  <si>
    <t>Communication Servers</t>
  </si>
  <si>
    <t>Lan Network and Core</t>
  </si>
  <si>
    <t>Communication Server WS</t>
  </si>
  <si>
    <t>Offices Communication</t>
  </si>
  <si>
    <t>Applications Server</t>
  </si>
  <si>
    <t>Security Platform</t>
  </si>
  <si>
    <t>Contingency Platform</t>
  </si>
  <si>
    <t>Electronic Document Management Platform</t>
  </si>
  <si>
    <t>Computers (Thin Client)</t>
  </si>
  <si>
    <t>Noc Room (Network Operating Center)</t>
  </si>
  <si>
    <t>Rack for Servers</t>
  </si>
  <si>
    <t xml:space="preserve">Printers </t>
  </si>
  <si>
    <t>Art an Diagram Services</t>
  </si>
  <si>
    <t>Per diem</t>
  </si>
  <si>
    <t>Accessories for Rack</t>
  </si>
  <si>
    <t>by point</t>
  </si>
  <si>
    <t>Taxes</t>
  </si>
  <si>
    <t>Categories</t>
  </si>
  <si>
    <t>Rates</t>
  </si>
  <si>
    <t>Per diem and Tickets</t>
  </si>
  <si>
    <t>Business Intelligence</t>
  </si>
  <si>
    <t>Integrated System for inventory Management and Human Resources Management</t>
  </si>
  <si>
    <t>Laptops</t>
  </si>
  <si>
    <t>Training Seminars</t>
  </si>
  <si>
    <t>By processor</t>
  </si>
  <si>
    <t>Rack support Server</t>
  </si>
  <si>
    <t>Quantity (Months * Experts)</t>
  </si>
  <si>
    <t xml:space="preserve">Development and implementation of a system to manage the subsidies provided to the public enterprises, including training in subsidies subject. </t>
  </si>
  <si>
    <t>Technological Infrastructure</t>
  </si>
  <si>
    <t>E-Learning platform with all technological components</t>
  </si>
  <si>
    <t>Contingency</t>
  </si>
  <si>
    <t>Methodology for forecasting expenditure and revenue</t>
  </si>
  <si>
    <t xml:space="preserve">Development and implementation of a  public debt management model , comprising front, middle and back office functions. Project activities will include: (i) a review of the current situation; (ii) a consultancy to help develop and implement the improved model; (iii) operating manuals; (iv) permanent training program in skills required for debt management.
</t>
  </si>
  <si>
    <t>Tools for analytical evaluations</t>
  </si>
  <si>
    <t>Electronic document management with support equipment</t>
  </si>
  <si>
    <t>Debt management information system with interfaces with other government systems implemented</t>
  </si>
  <si>
    <t>Equipment (Servers, computer, other equipment)</t>
  </si>
  <si>
    <t>Seminars for stakeholders consulting  and dissemination</t>
  </si>
  <si>
    <t>Implementation of data mining methodologies and tools.</t>
  </si>
  <si>
    <t>Development and implementation of an improved chart of accounts (COA) taking advantage of the capabilities of the new Integrated Financial Information System (IFMIS), including bank accounts, control accounts, and all government assets and liabilities.</t>
  </si>
  <si>
    <t>Evaluation of the government accounting system against International Public Sector Accounting Standards (IPSAS) and implementation of a work plan to improve accounting standards.</t>
  </si>
  <si>
    <t>Implementation of tools and methodologies for the audit of the main government information systems (financial management, tax and customs administration).</t>
  </si>
  <si>
    <t>Preparation of an assessment of the internal audit business model and provide support for implementation of the recommendations.
Implementation of a permanent training program, including techniques for financial, forensic, and performance audits.</t>
  </si>
  <si>
    <t>Development and implementation of an improved Public Finance Management (PFM) legal framework, including:(i)  the finalization and support to approve the law; (ii) specific regulations; and (iii) corresponding operating manuals.</t>
  </si>
  <si>
    <t xml:space="preserve">Development and implementation of a new organizational structure for the Ministry of Finance (MOF) in accordance with the new functions and entities to be stablished, including:
1. new chart organization
2. Definition of the responsibilities for the main entities, as well as the corresponding job descriptions for the operational personnel.
3. Implementation of a training program for the MOF based on the job description,  including e-learning capability.
</t>
  </si>
  <si>
    <t xml:space="preserve"> Hiring of local consultants with expertise to support day to day treasury operations.  </t>
  </si>
  <si>
    <t>Evaluation of the capacity for public and private sector to engage in PPP  and preparation of a roadmap for the implementation of a PPP unit, including a proposal for a PPP business model</t>
  </si>
  <si>
    <t>Total Component I</t>
  </si>
  <si>
    <t>Component I. Strengthen the revenue administration</t>
  </si>
  <si>
    <t>local legal technical support</t>
  </si>
  <si>
    <t>Replace PC's and office printers/scanners/switches and routers that have reached end of life or do not meet the requirement for AW or the COTS workstation requirements.</t>
  </si>
  <si>
    <t>Mobile scanning equipment acquired via RFP process</t>
  </si>
  <si>
    <t>Fixed scanning equipment acquired via RFP process</t>
  </si>
  <si>
    <t>Development of an action plan for the procurement system modernization</t>
  </si>
  <si>
    <t>Development of a Code of Ethics</t>
  </si>
  <si>
    <t>Awareness Campaign</t>
  </si>
  <si>
    <t>Publication services and tools for training delivery</t>
  </si>
  <si>
    <t>Technical support to identify deficiencies in existing buildings and to prepare technical specifications for civil works to be undertaken for these buildings.</t>
  </si>
  <si>
    <t>Establishment of a new ICT Technicians building; physical infrastructure (cables, UPS, etc.);Fat client; equipment for physical security; and (v) performance management software.</t>
  </si>
  <si>
    <t>Total Component III</t>
  </si>
  <si>
    <t>Component III. Public Investment Strengthening</t>
  </si>
  <si>
    <t>Seminars for PPP dissemination</t>
  </si>
  <si>
    <t>Products</t>
  </si>
  <si>
    <t>Technical support to establish, train, and provide consulting support to a group to undertake the data analytics that result in risk profiles that the AW risk management system employs to identify high risk transactions</t>
  </si>
  <si>
    <t>(a) Technical support to review customs procedures and adjust (including job descriptions) to accommodate VAT</t>
  </si>
  <si>
    <t>Procure mail equipment including its installation and training in its use.</t>
  </si>
  <si>
    <t>PPP off-the-shelf IT management system, including project database</t>
  </si>
  <si>
    <t>Customs functions and procedures improved</t>
  </si>
  <si>
    <t>Technological and physical infrastructures modernized.</t>
  </si>
  <si>
    <t xml:space="preserve">Tax functions and procedures improved </t>
  </si>
  <si>
    <t>Procure necessary building fit-up changes, furniture and equipment required to support taxpayer self-service outlets in tax offices and any seasonal ones.</t>
  </si>
  <si>
    <t>acquire local technical assistance to design an implement new tax payment processing through the banking system following international best practices adapted to the Suriname banking environment.</t>
  </si>
  <si>
    <t>local contracted technical assistance to review existing stop filing and refund processing and design and implement new processes following international best practices.</t>
  </si>
  <si>
    <t>Local consulting technical assistance:   to assist the international consultant in training and TIN design/implementation.</t>
  </si>
  <si>
    <t>Procure technical assistance from SIGTAS vendor to implement system changes to accommodate inactive taxpayers.</t>
  </si>
  <si>
    <t>Technical assistance to draft and disseminate legal instruments for: (a) the new VAT act, (b) a new Income Tax Act; (c) Customs Act; (d) Gaming Tax Act; (e) Entertainment Tax Act; and (f) Electronic Trade Act (to allow use of electronic transactions including e-signatures and Taxpayer Identification Numbers TIN); plus modifications required to the above acts to accommodate SIGTAS implementation.</t>
  </si>
  <si>
    <t>Procure technical support to identify the technical requirements for x-ray (or gamma) scanning equipment in the Suriname Customs Port environment; assist in preparing the technical specifications for that equipment; participate in the procurement evaluation process and provide support in developing the policies and protocols to effectively use the equipment.</t>
  </si>
  <si>
    <t xml:space="preserve">1.17 Tax legal Framework reviewed and updated, 
</t>
  </si>
  <si>
    <t>1.3 New effective Tax Identification Number (TIN) system for all taxpayers in Suriname designed and implemented</t>
  </si>
  <si>
    <t>1.10 Plan for the improvement of Customs processes according to the WCO standards prepared and implemented.</t>
  </si>
  <si>
    <t xml:space="preserve">1.13 New procedures for the adoption of the VAT developed and implemented. </t>
  </si>
  <si>
    <t xml:space="preserve">Train the taxpayer service staff on service techniques, develop procedure manuals and FAQ support tools, and train staff on the use of the Internet-based service system.  </t>
  </si>
  <si>
    <t xml:space="preserve">Help Desk:  undertake civil works and acquire telephone system; contractor to train staff for the help desk (call and counter) for taxpayer queries. </t>
  </si>
  <si>
    <t xml:space="preserve">Technical assistance for the development of the following management instruments: 
organizational design based upon functions not tax type; </t>
  </si>
  <si>
    <t xml:space="preserve">human resources regime for SARA </t>
  </si>
  <si>
    <t>performance measurement and management regime;</t>
  </si>
  <si>
    <t>Consultant Firm Int</t>
  </si>
  <si>
    <t>Consultant Firm Local</t>
  </si>
  <si>
    <t>Local contractors to provide technical assistance to designed and implemented new tax return (declaration) processing following international best practices.</t>
  </si>
  <si>
    <t xml:space="preserve">Local technical assistance to review current arrears collections procedures and to design and implement new procedures utilizing international best practices. </t>
  </si>
  <si>
    <t xml:space="preserve">Local technical assistance for international technical consultant in review current tax audit procedures and to design and implement new procedures utilizing international best practices adopted for the ATO environment.  </t>
  </si>
  <si>
    <t>International technical assistance to review current tax audit procedures and to design and implement new procedures utilizing international best practices adopted for the ATO environment; advising on localization of SIGTAS for audit requirements.  
This includes developing training programs via a train-the-trainer process.</t>
  </si>
  <si>
    <t>Upgrade tax and customs operations buildings to allow for deployment of the new technology and to provide better operating environments for the staff</t>
  </si>
  <si>
    <t xml:space="preserve">Review existing processes used for mail processing and identify changes in processing and what mechanical mail processing equipment would be required to uplift the operations.  </t>
  </si>
  <si>
    <t>Technical support to plan for office moves and requirements of the new building along with project management and execution of the moves to the new facilities</t>
  </si>
  <si>
    <t>Review the telecommunication needs of the tax and customs teams and acquire the needed equipment identified</t>
  </si>
  <si>
    <t>Technical assistance to define and establish electronic linkages with other government departments under MOU’s to allow data exchange (bi-directional) for more timely reporting</t>
  </si>
  <si>
    <t>Technical support to undertake the analysis of the costs associated with the operations of Customs; identify the method(s) that could be used to implement the Customs fee that are compliant with WCO/WTO requirements; assist in identifying modifications to procedures and processes (including ASYCUDA) to implement the fee.</t>
  </si>
  <si>
    <t>Uplift Customs public information including establishing a web site to provide more information about importer and exporter obligations and electronic linkages to Customs</t>
  </si>
  <si>
    <t>Quantity (Month</t>
  </si>
  <si>
    <t>Quantity (Months</t>
  </si>
  <si>
    <t>Experts</t>
  </si>
  <si>
    <t>Quantity Months</t>
  </si>
  <si>
    <t>Contract an external company to undertake annual taxpayer surveys to measure taxpayer satisfaction.
(2 months per year over the 5 years)</t>
  </si>
  <si>
    <t>Technical assistance from the SIGTAS vendor to modify their payment module to interface with the e-payments facility</t>
  </si>
  <si>
    <t>Procure services of a local company to design and execute Customs survey and analysis of results.
(2 months in 1st year; one month of effort for subsequent years or program)</t>
  </si>
  <si>
    <t>Train customs IT staff in use of the equipment and software they are supporting including certification that is required for AW support. using on-site training sessions</t>
  </si>
  <si>
    <t>Construction of the 2 buildings (campus style -- Customs and Tax Adm.)
(1000 staff * 5m2 per staff *$1000 per m2 = 4M; 2200m2 for landscaping and site prep @ $50/m2 = 110K; Contingency for building at 500K)</t>
  </si>
  <si>
    <t>Generator and UPS for main customs operations building in the port (to replace current system which has failed).</t>
  </si>
  <si>
    <t>Communications equipment acquired and deployment.</t>
  </si>
  <si>
    <t>Review the existing inventory of vehicles in tax and customs, identify the transport needs for enforcement, compliance and collections activities.  Prepare specifications for procurement of the appropriately configured cars.</t>
  </si>
  <si>
    <t>Vehicles for tax and customs collections, enforcement and compliance activities procured and deployed.</t>
  </si>
  <si>
    <t>SARA definition, strategic plan and roadmap for the implementation;</t>
  </si>
  <si>
    <t>local technical assistance to design the tax appeal processes following international best practices.
(4 months first year; follow-up in subsequent 2 years)</t>
  </si>
  <si>
    <t>Technical assistance to modify ASYCUDA payment module to interface with the e-payments facility</t>
  </si>
  <si>
    <t>Procure technical assistance to undertake the initial training in the use of the AW risk management system including how to operate it and adjust inputs to it.  Also includes the coding required to expand the automation of information into the AW risk management system from AW modules (e.g.: PCA results and results of examinations).</t>
  </si>
  <si>
    <t>Technical assistance to make the necessary adjustments to ASYCUDA to accommodate the automation of the data extraction or uploading with ASYCUDA</t>
  </si>
  <si>
    <t>Technical assistance to establish Post Clearance Audit (PCA) group and undertake PCA audits of transactions identified by risk management system when AW risk management module operational.  
Includes on-site training and refresher courses in subsequent years.
(6 months in first year; follow-up in subsequent years includes refresher training).</t>
  </si>
  <si>
    <t>Architectural and Engineering services to develop the specifications for the construction of a new building.  Participate in the evaluation of bids, provide project management of the construction process. 
(Architect amount is 5% of the estimated building costs; project management at 5% of building costs)</t>
  </si>
  <si>
    <t xml:space="preserve"> Organization strengthened</t>
  </si>
  <si>
    <t>Legal instruments strengthened</t>
  </si>
  <si>
    <t>Project Total</t>
  </si>
  <si>
    <t>IDB</t>
  </si>
  <si>
    <t>1.    Direct Costs</t>
  </si>
  <si>
    <t>2.   Administrative Costs</t>
  </si>
  <si>
    <t>Source</t>
  </si>
  <si>
    <t>Table 2.1. Project Budget (US$)</t>
  </si>
  <si>
    <t xml:space="preserve">Hiring of local consultants with expertise to support debt management operations. </t>
  </si>
  <si>
    <t>Review and update the regulations, manuals, and standard bidding document</t>
  </si>
  <si>
    <t>Certification Program in Public Procurement for public servants</t>
  </si>
  <si>
    <t>Preparation of a needs assessment for an internal control business model.</t>
  </si>
  <si>
    <t xml:space="preserve"> Hiring of local consultants with expertise to support internal audit operations.</t>
  </si>
  <si>
    <t>Hiring of local consultants with expertise to support IT operations including: (i) data base; (ii) system administration; (iii) IT security; and (iv) networking; (v) project manager</t>
  </si>
  <si>
    <t>Development and implementation of a PPP model including: (i)  guidelines and manuals, and (ii) training for budget office staff in ministry of finance and responsible staff in line ministry</t>
  </si>
  <si>
    <t xml:space="preserve"> (a) a work plan; and (b) the framework for financing the pre-investment and feasibility studies.</t>
  </si>
  <si>
    <t>Preparation of the pre-investment and feasibility studies</t>
  </si>
  <si>
    <t>Development and implementation of methodologies for framework contracts and reference price.</t>
  </si>
  <si>
    <t>Site visit (1 or 2) to an fully developed tax administration with a mature e-Tax model in place (quantity in person days)</t>
  </si>
  <si>
    <t xml:space="preserve"> Hiring of local consultants with expertise to support audit operations.</t>
  </si>
  <si>
    <t xml:space="preserve"> Hiring of local consultants with expertise to support tax return operations.</t>
  </si>
  <si>
    <t xml:space="preserve"> Hiring of local consultants with expertise to support IT functions.</t>
  </si>
  <si>
    <t xml:space="preserve"> Hiring of local consultants with expertise to support VAT operations</t>
  </si>
  <si>
    <t>Hiring of local consultants with expertise in Public Investment / PP operation</t>
  </si>
  <si>
    <t>Understanding of economic concepts of expenditures, and impact for public policy execution.</t>
  </si>
  <si>
    <t xml:space="preserve">Hiring of external consultant(s) with expertise to support the capacity building and training of the Economics department.  </t>
  </si>
  <si>
    <t>Training for capacity under third item</t>
  </si>
  <si>
    <t>Technical assistance to develop and implement a WEB portal to publish the government fiscal information</t>
  </si>
  <si>
    <t>Technical assistance to develop a Medium Term Expenditure Framework model, including training and evaluation</t>
  </si>
  <si>
    <t xml:space="preserve">Strengthen the budget planning process as part of the implementation of the improved Medium Term Fiscal Framework (MTFF) methodology.
Contribute to development of and execute the implementation of the improved Medium Term Expenditure Framework (MTEF) methodology, aiming to support the budget process in a multiyear perspective. </t>
  </si>
  <si>
    <t>Project management support for the IFMIS Working Group in the development of the business plan for IFMIS and Tax (business process and redesign) implementation by hiring consultancies in the following areas: (i) budget and treasury; (ii) IT ("?") hardware and business management support;  (iii) effective integration (or interfacing) of IFMIS, Sigtas and Asycuda systems; and (iv) management information dash boards/ policy triggers/ regular (standardized) and ad hoc queried reports.</t>
  </si>
  <si>
    <t xml:space="preserve"> Hiring of local consultants with expertise to support service operations</t>
  </si>
  <si>
    <t>International consultant to provide technical assistance to designed and implemented new tax return (declaration) processing following international best practices
This includes developing training programs via a train-the-trainer process.</t>
  </si>
  <si>
    <t>procure international local technical assistance to design an implement new tax payment processing through the banking system following international best practices adapted to the Suriname banking environment and advise on localization of SIGTAS for payment processing.
This includes developing training programs via a train-the-trainer process.</t>
  </si>
  <si>
    <t>acquire international consultant technical assistance to review existing stop filing and refund processing and design and implement new processes following international best practices; and advise on localization of SIGTAS for stop filing and refund processing.
This includes developing training programs via a train-the-trainer process.</t>
  </si>
  <si>
    <t>International technical assistance to review current arrears collections procedures and to design and implement new procedures utilizing international best practices; advising on localization of SIGTAS for collection requirements.
This includes developing training programs via a train-the-trainer process.</t>
  </si>
  <si>
    <t>International consultant assistance to design the tax appeal processes following international best practices; advise on localization of SIGTAS for appeals requirements. This includes developing training programs via a train-the-trainer process.
(3 months first year; follow-up in subsequent 2 years)</t>
  </si>
  <si>
    <t>Procure technical resource to undertake customization of ASYCUDA to accommodate VAT.</t>
  </si>
  <si>
    <t>Technical assistance to develop a conceptual model for the implementation of a transparency portal to publish all government fiscal information according to the best practices</t>
  </si>
  <si>
    <t>Generator and UPS for ICT technicians building</t>
  </si>
  <si>
    <t>Analysis of the value of OSEs assets / liabilities with recommendation for improvements</t>
  </si>
  <si>
    <t>Development of a mechanisms to establish and rationalize subsidies to SOES.</t>
  </si>
  <si>
    <t xml:space="preserve">2.1  New Organizational Structure of the Ministry of Finance (MOF) developed and implemented
</t>
  </si>
  <si>
    <t xml:space="preserve">2.4 Treasury Operations developed and implemented
</t>
  </si>
  <si>
    <t>2.13 PFM Legal Framework reviewed and updated</t>
  </si>
  <si>
    <t>Consultancy to prepare TORs</t>
  </si>
  <si>
    <t>Firms</t>
  </si>
  <si>
    <t>Services different of Consultancy</t>
  </si>
  <si>
    <t>Individual Consultants</t>
  </si>
  <si>
    <t>Project Componente</t>
  </si>
  <si>
    <t>Bank</t>
  </si>
  <si>
    <t>4. Components</t>
  </si>
  <si>
    <t>Category Investment</t>
  </si>
  <si>
    <t>1. Procurement Plan Synthetic</t>
  </si>
  <si>
    <t>Date</t>
  </si>
  <si>
    <t>From</t>
  </si>
  <si>
    <t>Until</t>
  </si>
  <si>
    <t>Plan de Acquisitions Cobertura:</t>
  </si>
  <si>
    <t>2. Procurement Plan Detailed</t>
  </si>
  <si>
    <t>3. Amounts by Investment Categories</t>
  </si>
  <si>
    <t>Pluriannual Execution Plan (PEP)</t>
  </si>
  <si>
    <t>OTA</t>
  </si>
  <si>
    <t>General Total</t>
  </si>
  <si>
    <t>1.6 Stop filing and refund processing procedures and system modernized.</t>
  </si>
  <si>
    <t>1.11 Tax audit model including tools risk based criteria reviewed and implemented.</t>
  </si>
  <si>
    <t xml:space="preserve">1.14 Plan for the modernization of the Customs ICT implemented. </t>
  </si>
  <si>
    <t>1.7 Tax Audit procedures and system based on risk analysis implemented</t>
  </si>
  <si>
    <t xml:space="preserve">2.9 State Owned Enterprises (SOEs) business model reviewed and implemented </t>
  </si>
  <si>
    <t xml:space="preserve">2.11 Transparency Portal for the MoF designed and implemented
</t>
  </si>
  <si>
    <t xml:space="preserve">2.3 Budget Planning business model reviewed and improved
</t>
  </si>
  <si>
    <t xml:space="preserve">2.7 Accounting system reviewed and strengthened according to the new International Public Sector Accounting Standards (IPSAS)
</t>
  </si>
  <si>
    <t xml:space="preserve">2.8 Internal Control needs assessment and recommendations for improvement prepared and implemented; 
</t>
  </si>
  <si>
    <t>3.2 Implementation of an operational plan and funding for planning, pre-investment and feasibility studies in public infrastructure and PPPs</t>
  </si>
  <si>
    <t>3.1 Establishment of a PPP Unit, including a business model and a system for PPP management</t>
  </si>
  <si>
    <t xml:space="preserve">1.2 Taxpayer service function and organization in the ORA created and staffed.  </t>
  </si>
  <si>
    <t>Procure/Develop and implement an Internet-based system to provide most of the ORA services on-line without requiring the taxpayer to come to the ORA offices using SIGTAS functions were possible.</t>
  </si>
  <si>
    <t>ORA membership in the WCO</t>
  </si>
  <si>
    <t>New tax administration COTS system that has been selected under ORA procurement process.</t>
  </si>
  <si>
    <t>1.16 Plan for the modernization of the ORA physical infrastructure implemented.</t>
  </si>
  <si>
    <t>Technical assistance for course development and training of trainers within the ORA on the VAT legislation.   + Training</t>
  </si>
  <si>
    <t xml:space="preserve">Training of ORA ICT staff in the software and hardware they are supporting in addition to managing and monitoring their systems (including network).  </t>
  </si>
  <si>
    <t xml:space="preserve">1.1  New Organizational Structure of the revenue administration prepared and implemented </t>
  </si>
  <si>
    <t xml:space="preserve"> 
a. Establishment of a Treasury Department including: (i) the preparation of a road map for its implementation; (ii)   Revamp the Treasury Single Account (TSA) system to result in information on Total cash balances of the government being available at least daily and to consolidate cash balances in support of the cash management.
b. Development and implementation of a new cash management (CM) model, including: (i) creation of a CM unit; (ii) establishment of a CM Committee for coordination among stakeholders, including Debt Management (SDMO) and Central Bank; (iii) ; and (iv) implement a permanent training program.</t>
  </si>
  <si>
    <t>Technical assistance to mentor Office  of Revenue Authority (ORA) management in managing change and in project management.  Supplement this with formal training in these topics.</t>
  </si>
  <si>
    <t>International consultant:  to assist in the implementation of the new TIN with VAT and gradually applied to Customs and to direct taxes; justification to expand use into other financial areas (e.g.:  for real estate transactions, financial transactions ...).  Advising on customization of SIGTAS for registration.
This includes developing training programs via a train-the-trainer process</t>
  </si>
  <si>
    <t>Electronic Government Procurement (off-the-shelf e-tendering and supplier register)</t>
  </si>
  <si>
    <t>Establishment of the SOE Unit, including its structure, procedures manual, model for the financial statements and main reports, and job profiles of the staff.</t>
  </si>
  <si>
    <t>1.4 Tax Return (Declaration) Processing system using modern procedures and methods designed and implemented.</t>
  </si>
  <si>
    <t>1.5 New Tax Payment Processing system through the banking network designed and implemented.</t>
  </si>
  <si>
    <t>1.8 Tax arrears collections procedures and system reviewed and modernized.</t>
  </si>
  <si>
    <t xml:space="preserve">1.9 Tax appeal system and institutions reviewed and modernized. </t>
  </si>
  <si>
    <t>1.12 Post Clearance Audit (PCA) model including risk management concepts developed and implemented in Asycuda World System (AWS).</t>
  </si>
  <si>
    <t>1.15 Operational support for ASYCUDA world Customs system implementation</t>
  </si>
  <si>
    <t>Provide operational support for the ASYCUDA World instance by acquiring resources, through a firm, to provide technical support of the product both on a short term contractual basis and through training of customs IT staff to keep the application operational
(2 consultants for 1 year)</t>
  </si>
  <si>
    <t xml:space="preserve">2.12 Technological infrastructures of the MOF made adequate (ORA, Customs, Directorate of Finance) developed and implemented
</t>
  </si>
  <si>
    <t xml:space="preserve">2.10 Internal Audit system business model reviewed and strengthened
</t>
  </si>
  <si>
    <t>2.6 Procurement procedures and System reviewed and strengthened</t>
  </si>
  <si>
    <t xml:space="preserve">2.5 Debt Management operations and system reviewed and strengthened
</t>
  </si>
  <si>
    <t>Develop capacity in: (a) macroeconomic diagnostics, including statistics warehousing and data analytics; (b) presentation (or reporting) of integrated macroeconomic stance and outlook; (c) fiscal developments highlighting and public policy results evaluation; (d) projecting of the medium-term fiscal framework under different fiscal rules scenarios, integrating key macroeconomic assumptions, public policy goals, and specific fiscal and public debt sustainability targets; (e) aiding the budget department in translating public policy goals into the medium-term expenditure frameworks and the annual (departments) budget plans, while safeguarding the integrity of the overall fiscal balance; and (f) liaising with the debt management office in safeguarding the financing sustainability of central government and public sector operations.</t>
  </si>
  <si>
    <t>2.2 Macroeconomic analysis, for fiscal and public policy function of the MoF modernized</t>
  </si>
  <si>
    <t>Fiscal Strengthening to Support Economic Growth (FISEG) Program
SU-L1050</t>
  </si>
  <si>
    <t>International Consultancies to support the execution, including TI</t>
  </si>
  <si>
    <t>Table 2.2. Disbursement Timetable (US$ millions)</t>
  </si>
  <si>
    <t>Monitoring Specialists</t>
  </si>
  <si>
    <t>Financial Specialists</t>
  </si>
  <si>
    <t>Acquire current technology (network, servers, PC’s, printers, anti-malware and intrusion detection) to support the new IT software and locate it in a Government (or Ministry) primary and disaster recover data centers</t>
  </si>
  <si>
    <t xml:space="preserve">Disaster Recovery / business continuity center for Data Centre to be established to provide adequate resilience for IT systems </t>
  </si>
  <si>
    <t>Categories of Investment</t>
  </si>
  <si>
    <t>Procurement Specialists</t>
  </si>
  <si>
    <t>Automated Project managemnt System</t>
  </si>
  <si>
    <t>Automated accounting System</t>
  </si>
  <si>
    <t>Physical Progress</t>
  </si>
  <si>
    <t>year 2</t>
  </si>
  <si>
    <t>year3</t>
  </si>
  <si>
    <t>year 4</t>
  </si>
  <si>
    <t>year 3</t>
  </si>
  <si>
    <t>Monitoring Tools</t>
  </si>
  <si>
    <t>1,1</t>
  </si>
  <si>
    <t>1,2</t>
  </si>
  <si>
    <t>1,4</t>
  </si>
  <si>
    <t>1,10</t>
  </si>
  <si>
    <t>1,11</t>
  </si>
  <si>
    <t>1,12</t>
  </si>
  <si>
    <t>1,13</t>
  </si>
  <si>
    <t>1,14</t>
  </si>
  <si>
    <t>1,16</t>
  </si>
  <si>
    <t>2,1</t>
  </si>
  <si>
    <t>2,2</t>
  </si>
  <si>
    <t>2,3</t>
  </si>
  <si>
    <t>2,4</t>
  </si>
  <si>
    <t>2,5</t>
  </si>
  <si>
    <t>2,6</t>
  </si>
  <si>
    <t>2,7</t>
  </si>
  <si>
    <t>2,8</t>
  </si>
  <si>
    <t>2,9</t>
  </si>
  <si>
    <t>2,10</t>
  </si>
  <si>
    <t>2,11</t>
  </si>
  <si>
    <t>2,12</t>
  </si>
  <si>
    <t>2,13</t>
  </si>
  <si>
    <t>3,1</t>
  </si>
  <si>
    <t>3,2</t>
  </si>
  <si>
    <t>4,0</t>
  </si>
  <si>
    <t>Componente / Producto</t>
  </si>
  <si>
    <t>1,3</t>
  </si>
  <si>
    <t>1,5</t>
  </si>
  <si>
    <t>1,6</t>
  </si>
  <si>
    <t>1,7</t>
  </si>
  <si>
    <t>1,8</t>
  </si>
  <si>
    <t>1,9</t>
  </si>
  <si>
    <t>1,17</t>
  </si>
  <si>
    <t>1,15</t>
  </si>
  <si>
    <t>Plan de Adquisiciones  Year 1 - Year 5</t>
  </si>
  <si>
    <t>year 5</t>
  </si>
  <si>
    <t>year5</t>
  </si>
  <si>
    <t>year4</t>
  </si>
  <si>
    <t>Year2</t>
  </si>
  <si>
    <t>Audit and Evaluation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</si>
</sst>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6" formatCode="&quot;$&quot;#,##0_);[Red]\(&quot;$&quot;#,##0\)"/>
    <numFmt numFmtId="43" formatCode="_(* #,##0.00_);_(* \(#,##0.00\);_(* &quot;-&quot;??_);_(@_)"/>
    <numFmt numFmtId="164" formatCode="[$-409]dd\-mmm\-yy;@"/>
    <numFmt numFmtId="165" formatCode="[$USD]\ #,##0.00"/>
    <numFmt numFmtId="166" formatCode="_(&quot;$&quot;\ * #,##0_);_(&quot;$&quot;\ * \(#,##0\);_(&quot;$&quot;\ * &quot;-&quot;??_);_(@_)"/>
    <numFmt numFmtId="167" formatCode="[$USD]\ #,##0"/>
    <numFmt numFmtId="168" formatCode="_(&quot;$&quot;* #,##0_);_(&quot;$&quot;* \(#,##0\);_(&quot;$&quot;* &quot;-&quot;??_);_(@_)"/>
  </numFmts>
  <fonts count="55"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rgb="FF000000"/>
      <name val="Calibri"/>
      <family val="2"/>
      <scheme val="minor"/>
    </font>
    <font>
      <sz val="12"/>
      <name val="Calibri"/>
      <family val="2"/>
      <scheme val="minor"/>
    </font>
    <font>
      <sz val="12"/>
      <color theme="0"/>
      <name val="Calibri"/>
      <family val="2"/>
      <scheme val="minor"/>
    </font>
    <font>
      <sz val="10"/>
      <name val="Arial"/>
      <family val="2"/>
    </font>
    <font>
      <b/>
      <sz val="16"/>
      <name val="Calibri"/>
      <family val="2"/>
      <scheme val="minor"/>
    </font>
    <font>
      <b/>
      <sz val="12"/>
      <color theme="0"/>
      <name val="Calibri"/>
      <family val="2"/>
      <scheme val="minor"/>
    </font>
    <font>
      <b/>
      <sz val="12"/>
      <color rgb="FF000000"/>
      <name val="Calibri"/>
      <family val="2"/>
      <scheme val="minor"/>
    </font>
    <font>
      <b/>
      <sz val="12"/>
      <color theme="1"/>
      <name val="Calibri"/>
      <family val="2"/>
      <scheme val="minor"/>
    </font>
    <font>
      <b/>
      <sz val="11"/>
      <name val="Calibri"/>
      <family val="2"/>
      <scheme val="minor"/>
    </font>
    <font>
      <b/>
      <sz val="12"/>
      <color indexed="9"/>
      <name val="Calibri"/>
      <family val="2"/>
      <scheme val="minor"/>
    </font>
    <font>
      <b/>
      <sz val="10"/>
      <name val="Calibri"/>
      <family val="2"/>
      <scheme val="minor"/>
    </font>
    <font>
      <sz val="10"/>
      <name val="Calibri"/>
      <family val="2"/>
      <scheme val="minor"/>
    </font>
    <font>
      <sz val="12"/>
      <color theme="1"/>
      <name val="Calibri"/>
      <family val="2"/>
      <scheme val="minor"/>
    </font>
    <font>
      <b/>
      <sz val="12"/>
      <name val="Calibri"/>
      <family val="2"/>
      <scheme val="minor"/>
    </font>
    <font>
      <b/>
      <sz val="11"/>
      <color theme="1"/>
      <name val="Times New Roman"/>
      <family val="1"/>
    </font>
    <font>
      <sz val="11"/>
      <color theme="1"/>
      <name val="Times New Roman"/>
      <family val="1"/>
    </font>
    <font>
      <b/>
      <sz val="11"/>
      <color theme="1"/>
      <name val="Calibri"/>
      <family val="2"/>
      <scheme val="minor"/>
    </font>
    <font>
      <b/>
      <sz val="14"/>
      <color theme="0"/>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9"/>
      <color theme="1"/>
      <name val="Times New Roman"/>
      <family val="1"/>
    </font>
    <font>
      <b/>
      <sz val="9"/>
      <color theme="1"/>
      <name val="Times New Roman"/>
      <family val="1"/>
    </font>
    <font>
      <b/>
      <sz val="9"/>
      <color rgb="FF000000"/>
      <name val="Times New Roman"/>
      <family val="1"/>
    </font>
    <font>
      <b/>
      <sz val="10"/>
      <color theme="1"/>
      <name val="Times New Roman"/>
      <family val="1"/>
    </font>
    <font>
      <sz val="10"/>
      <color theme="1"/>
      <name val="Times New Roman"/>
      <family val="1"/>
    </font>
    <font>
      <sz val="8"/>
      <color theme="1"/>
      <name val="Times New Roman"/>
      <family val="1"/>
    </font>
    <font>
      <b/>
      <sz val="11"/>
      <color rgb="FF000000"/>
      <name val="Times New Roman"/>
      <family val="1"/>
    </font>
    <font>
      <b/>
      <sz val="16"/>
      <color theme="1"/>
      <name val="Calibri"/>
      <family val="2"/>
      <scheme val="minor"/>
    </font>
    <font>
      <sz val="16"/>
      <color theme="1"/>
      <name val="Calibri"/>
      <family val="2"/>
      <scheme val="minor"/>
    </font>
    <font>
      <sz val="12"/>
      <color rgb="FFFF0000"/>
      <name val="Calibri"/>
      <family val="2"/>
      <scheme val="minor"/>
    </font>
    <font>
      <sz val="10"/>
      <color rgb="FFFF0000"/>
      <name val="Calibri"/>
      <family val="2"/>
      <scheme val="minor"/>
    </font>
    <font>
      <sz val="11"/>
      <color rgb="FF000000"/>
      <name val="Calibri"/>
      <family val="2"/>
      <charset val="1"/>
    </font>
    <font>
      <b/>
      <sz val="14"/>
      <color theme="1"/>
      <name val="Times New Roman"/>
      <family val="1"/>
    </font>
  </fonts>
  <fills count="45">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rgb="FF00B0F0"/>
        <bgColor indexed="64"/>
      </patternFill>
    </fill>
    <fill>
      <patternFill patternType="solid">
        <fgColor theme="5" tint="0.39997558519241921"/>
        <bgColor indexed="64"/>
      </patternFill>
    </fill>
    <fill>
      <patternFill patternType="solid">
        <fgColor theme="4" tint="0.39997558519241921"/>
        <bgColor indexed="64"/>
      </patternFill>
    </fill>
    <fill>
      <patternFill patternType="solid">
        <fgColor theme="7" tint="0.59999389629810485"/>
        <bgColor indexed="64"/>
      </patternFill>
    </fill>
    <fill>
      <patternFill patternType="solid">
        <fgColor theme="0" tint="-0.249977111117893"/>
        <bgColor indexed="64"/>
      </patternFill>
    </fill>
    <fill>
      <patternFill patternType="solid">
        <fgColor rgb="FF92D05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C0C0C0"/>
        <bgColor indexed="64"/>
      </patternFill>
    </fill>
    <fill>
      <patternFill patternType="solid">
        <fgColor rgb="FFBFBFBF"/>
        <bgColor indexed="64"/>
      </patternFill>
    </fill>
    <fill>
      <patternFill patternType="solid">
        <fgColor theme="4" tint="0.59999389629810485"/>
        <bgColor indexed="64"/>
      </patternFill>
    </fill>
    <fill>
      <patternFill patternType="solid">
        <fgColor theme="7" tint="0.39997558519241921"/>
        <bgColor indexed="64"/>
      </patternFill>
    </fill>
    <fill>
      <patternFill patternType="solid">
        <fgColor theme="5" tint="0.59999389629810485"/>
        <bgColor indexed="64"/>
      </patternFill>
    </fill>
    <fill>
      <patternFill patternType="solid">
        <fgColor theme="3" tint="0.79998168889431442"/>
        <bgColor indexed="64"/>
      </patternFill>
    </fill>
    <fill>
      <patternFill patternType="solid">
        <fgColor theme="2"/>
        <bgColor indexed="64"/>
      </patternFill>
    </fill>
    <fill>
      <patternFill patternType="solid">
        <fgColor theme="9" tint="0.39997558519241921"/>
        <bgColor indexed="64"/>
      </patternFill>
    </fill>
    <fill>
      <patternFill patternType="solid">
        <fgColor theme="3" tint="0.59999389629810485"/>
        <bgColor indexed="64"/>
      </patternFill>
    </fill>
    <fill>
      <patternFill patternType="solid">
        <fgColor theme="9"/>
        <bgColor indexed="64"/>
      </patternFill>
    </fill>
    <fill>
      <patternFill patternType="solid">
        <fgColor rgb="FFFFFF00"/>
        <bgColor indexed="64"/>
      </patternFill>
    </fill>
    <fill>
      <patternFill patternType="solid">
        <fgColor rgb="FFFFC000"/>
        <bgColor indexed="64"/>
      </patternFill>
    </fill>
    <fill>
      <patternFill patternType="solid">
        <fgColor theme="1"/>
        <bgColor indexed="64"/>
      </patternFill>
    </fill>
  </fills>
  <borders count="10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style="medium">
        <color indexed="64"/>
      </top>
      <bottom/>
      <diagonal/>
    </border>
    <border>
      <left/>
      <right style="medium">
        <color rgb="FF000000"/>
      </right>
      <top/>
      <bottom style="medium">
        <color rgb="FF000000"/>
      </bottom>
      <diagonal/>
    </border>
    <border>
      <left style="thin">
        <color auto="1"/>
      </left>
      <right style="thin">
        <color auto="1"/>
      </right>
      <top style="thin">
        <color auto="1"/>
      </top>
      <bottom style="thin">
        <color auto="1"/>
      </bottom>
      <diagonal/>
    </border>
    <border>
      <left style="thin">
        <color auto="1"/>
      </left>
      <right style="thin">
        <color indexed="64"/>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medium">
        <color indexed="64"/>
      </left>
      <right/>
      <top style="medium">
        <color indexed="64"/>
      </top>
      <bottom style="thin">
        <color indexed="64"/>
      </bottom>
      <diagonal/>
    </border>
    <border>
      <left/>
      <right style="thin">
        <color indexed="64"/>
      </right>
      <top/>
      <bottom/>
      <diagonal/>
    </border>
    <border>
      <left/>
      <right/>
      <top style="medium">
        <color auto="1"/>
      </top>
      <bottom style="thin">
        <color auto="1"/>
      </bottom>
      <diagonal/>
    </border>
    <border>
      <left/>
      <right style="medium">
        <color auto="1"/>
      </right>
      <top style="medium">
        <color auto="1"/>
      </top>
      <bottom style="thin">
        <color auto="1"/>
      </bottom>
      <diagonal/>
    </border>
    <border>
      <left/>
      <right/>
      <top style="thin">
        <color auto="1"/>
      </top>
      <bottom/>
      <diagonal/>
    </border>
    <border>
      <left style="medium">
        <color indexed="64"/>
      </left>
      <right style="medium">
        <color rgb="FF000000"/>
      </right>
      <top style="medium">
        <color indexed="64"/>
      </top>
      <bottom style="medium">
        <color rgb="FF000000"/>
      </bottom>
      <diagonal/>
    </border>
    <border>
      <left/>
      <right style="medium">
        <color rgb="FF000000"/>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indexed="64"/>
      </left>
      <right style="medium">
        <color rgb="FF000000"/>
      </right>
      <top/>
      <bottom style="medium">
        <color rgb="FF000000"/>
      </bottom>
      <diagonal/>
    </border>
    <border>
      <left/>
      <right style="medium">
        <color indexed="64"/>
      </right>
      <top/>
      <bottom style="medium">
        <color rgb="FF000000"/>
      </bottom>
      <diagonal/>
    </border>
    <border>
      <left style="medium">
        <color indexed="64"/>
      </left>
      <right style="medium">
        <color rgb="FF000000"/>
      </right>
      <top/>
      <bottom style="medium">
        <color indexed="64"/>
      </bottom>
      <diagonal/>
    </border>
    <border>
      <left/>
      <right style="medium">
        <color rgb="FF000000"/>
      </right>
      <top/>
      <bottom style="medium">
        <color indexed="64"/>
      </bottom>
      <diagonal/>
    </border>
    <border>
      <left style="thin">
        <color auto="1"/>
      </left>
      <right/>
      <top style="thin">
        <color auto="1"/>
      </top>
      <bottom style="thin">
        <color auto="1"/>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diagonal/>
    </border>
    <border>
      <left style="medium">
        <color indexed="64"/>
      </left>
      <right style="medium">
        <color indexed="64"/>
      </right>
      <top/>
      <bottom style="thin">
        <color indexed="64"/>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medium">
        <color indexed="64"/>
      </left>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right style="medium">
        <color indexed="64"/>
      </right>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thin">
        <color theme="0"/>
      </left>
      <right/>
      <top style="thin">
        <color theme="0"/>
      </top>
      <bottom style="thin">
        <color theme="0"/>
      </bottom>
      <diagonal/>
    </border>
    <border>
      <left/>
      <right/>
      <top style="thin">
        <color theme="0"/>
      </top>
      <bottom style="thin">
        <color theme="0"/>
      </bottom>
      <diagonal/>
    </border>
    <border>
      <left/>
      <right/>
      <top style="thin">
        <color theme="0"/>
      </top>
      <bottom/>
      <diagonal/>
    </border>
    <border>
      <left/>
      <right style="medium">
        <color theme="0"/>
      </right>
      <top style="thin">
        <color theme="0"/>
      </top>
      <bottom/>
      <diagonal/>
    </border>
    <border>
      <left/>
      <right style="thin">
        <color theme="0"/>
      </right>
      <top style="thin">
        <color theme="0"/>
      </top>
      <bottom/>
      <diagonal/>
    </border>
    <border>
      <left style="medium">
        <color theme="0"/>
      </left>
      <right/>
      <top style="medium">
        <color theme="0"/>
      </top>
      <bottom style="medium">
        <color theme="0"/>
      </bottom>
      <diagonal/>
    </border>
    <border>
      <left/>
      <right/>
      <top style="medium">
        <color theme="0"/>
      </top>
      <bottom style="medium">
        <color theme="0"/>
      </bottom>
      <diagonal/>
    </border>
    <border>
      <left/>
      <right style="medium">
        <color theme="0"/>
      </right>
      <top style="medium">
        <color theme="0"/>
      </top>
      <bottom style="medium">
        <color theme="0"/>
      </bottom>
      <diagonal/>
    </border>
    <border>
      <left style="thin">
        <color theme="0"/>
      </left>
      <right/>
      <top style="thin">
        <color theme="0"/>
      </top>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right style="thin">
        <color theme="0"/>
      </right>
      <top/>
      <bottom/>
      <diagonal/>
    </border>
    <border>
      <left style="medium">
        <color theme="0"/>
      </left>
      <right/>
      <top/>
      <bottom/>
      <diagonal/>
    </border>
    <border>
      <left/>
      <right style="medium">
        <color theme="0"/>
      </right>
      <top/>
      <bottom/>
      <diagonal/>
    </border>
    <border>
      <left style="thin">
        <color auto="1"/>
      </left>
      <right/>
      <top style="thin">
        <color auto="1"/>
      </top>
      <bottom style="thin">
        <color auto="1"/>
      </bottom>
      <diagonal/>
    </border>
    <border>
      <left/>
      <right style="thin">
        <color indexed="64"/>
      </right>
      <top style="thin">
        <color indexed="64"/>
      </top>
      <bottom style="thin">
        <color indexed="64"/>
      </bottom>
      <diagonal/>
    </border>
    <border>
      <left style="thin">
        <color auto="1"/>
      </left>
      <right/>
      <top/>
      <bottom/>
      <diagonal/>
    </border>
    <border>
      <left style="medium">
        <color indexed="64"/>
      </left>
      <right style="medium">
        <color indexed="64"/>
      </right>
      <top style="thin">
        <color auto="1"/>
      </top>
      <bottom/>
      <diagonal/>
    </border>
    <border>
      <left style="thin">
        <color theme="0"/>
      </left>
      <right/>
      <top/>
      <bottom/>
      <diagonal/>
    </border>
    <border>
      <left style="thin">
        <color auto="1"/>
      </left>
      <right style="thin">
        <color auto="1"/>
      </right>
      <top style="thin">
        <color auto="1"/>
      </top>
      <bottom style="thin">
        <color auto="1"/>
      </bottom>
      <diagonal/>
    </border>
    <border>
      <left/>
      <right style="thin">
        <color theme="0"/>
      </right>
      <top style="thin">
        <color theme="0"/>
      </top>
      <bottom style="thin">
        <color theme="0"/>
      </bottom>
      <diagonal/>
    </border>
  </borders>
  <cellStyleXfs count="152">
    <xf numFmtId="0" fontId="0" fillId="0" borderId="0"/>
    <xf numFmtId="0" fontId="10" fillId="0" borderId="0"/>
    <xf numFmtId="0" fontId="10" fillId="0" borderId="0"/>
    <xf numFmtId="0" fontId="6" fillId="0" borderId="0"/>
    <xf numFmtId="0" fontId="5" fillId="0" borderId="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2" borderId="0" applyNumberFormat="0" applyBorder="0" applyAlignment="0" applyProtection="0"/>
    <xf numFmtId="0" fontId="25" fillId="12" borderId="0" applyNumberFormat="0" applyBorder="0" applyAlignment="0" applyProtection="0"/>
    <xf numFmtId="0" fontId="25" fillId="12"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5" borderId="0" applyNumberFormat="0" applyBorder="0" applyAlignment="0" applyProtection="0"/>
    <xf numFmtId="0" fontId="25" fillId="15" borderId="0" applyNumberFormat="0" applyBorder="0" applyAlignment="0" applyProtection="0"/>
    <xf numFmtId="0" fontId="25" fillId="15"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6" fillId="20" borderId="0" applyNumberFormat="0" applyBorder="0" applyAlignment="0" applyProtection="0"/>
    <xf numFmtId="0" fontId="26" fillId="20" borderId="0" applyNumberFormat="0" applyBorder="0" applyAlignment="0" applyProtection="0"/>
    <xf numFmtId="0" fontId="26" fillId="20"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6" fillId="18" borderId="0" applyNumberFormat="0" applyBorder="0" applyAlignment="0" applyProtection="0"/>
    <xf numFmtId="0" fontId="26" fillId="18" borderId="0" applyNumberFormat="0" applyBorder="0" applyAlignment="0" applyProtection="0"/>
    <xf numFmtId="0" fontId="26" fillId="18" borderId="0" applyNumberFormat="0" applyBorder="0" applyAlignment="0" applyProtection="0"/>
    <xf numFmtId="0" fontId="26" fillId="21" borderId="0" applyNumberFormat="0" applyBorder="0" applyAlignment="0" applyProtection="0"/>
    <xf numFmtId="0" fontId="26" fillId="21" borderId="0" applyNumberFormat="0" applyBorder="0" applyAlignment="0" applyProtection="0"/>
    <xf numFmtId="0" fontId="26" fillId="21" borderId="0" applyNumberFormat="0" applyBorder="0" applyAlignment="0" applyProtection="0"/>
    <xf numFmtId="0" fontId="26" fillId="22" borderId="0" applyNumberFormat="0" applyBorder="0" applyAlignment="0" applyProtection="0"/>
    <xf numFmtId="0" fontId="26" fillId="22" borderId="0" applyNumberFormat="0" applyBorder="0" applyAlignment="0" applyProtection="0"/>
    <xf numFmtId="0" fontId="26" fillId="22" borderId="0" applyNumberFormat="0" applyBorder="0" applyAlignment="0" applyProtection="0"/>
    <xf numFmtId="0" fontId="26" fillId="23" borderId="0" applyNumberFormat="0" applyBorder="0" applyAlignment="0" applyProtection="0"/>
    <xf numFmtId="0" fontId="26" fillId="23" borderId="0" applyNumberFormat="0" applyBorder="0" applyAlignment="0" applyProtection="0"/>
    <xf numFmtId="0" fontId="26" fillId="23" borderId="0" applyNumberFormat="0" applyBorder="0" applyAlignment="0" applyProtection="0"/>
    <xf numFmtId="0" fontId="26" fillId="24" borderId="0" applyNumberFormat="0" applyBorder="0" applyAlignment="0" applyProtection="0"/>
    <xf numFmtId="0" fontId="26" fillId="24" borderId="0" applyNumberFormat="0" applyBorder="0" applyAlignment="0" applyProtection="0"/>
    <xf numFmtId="0" fontId="26" fillId="24" borderId="0" applyNumberFormat="0" applyBorder="0" applyAlignment="0" applyProtection="0"/>
    <xf numFmtId="0" fontId="26" fillId="25" borderId="0" applyNumberFormat="0" applyBorder="0" applyAlignment="0" applyProtection="0"/>
    <xf numFmtId="0" fontId="26" fillId="25" borderId="0" applyNumberFormat="0" applyBorder="0" applyAlignment="0" applyProtection="0"/>
    <xf numFmtId="0" fontId="26" fillId="25" borderId="0" applyNumberFormat="0" applyBorder="0" applyAlignment="0" applyProtection="0"/>
    <xf numFmtId="0" fontId="26" fillId="26" borderId="0" applyNumberFormat="0" applyBorder="0" applyAlignment="0" applyProtection="0"/>
    <xf numFmtId="0" fontId="26" fillId="26" borderId="0" applyNumberFormat="0" applyBorder="0" applyAlignment="0" applyProtection="0"/>
    <xf numFmtId="0" fontId="26" fillId="26" borderId="0" applyNumberFormat="0" applyBorder="0" applyAlignment="0" applyProtection="0"/>
    <xf numFmtId="0" fontId="26" fillId="21" borderId="0" applyNumberFormat="0" applyBorder="0" applyAlignment="0" applyProtection="0"/>
    <xf numFmtId="0" fontId="26" fillId="21" borderId="0" applyNumberFormat="0" applyBorder="0" applyAlignment="0" applyProtection="0"/>
    <xf numFmtId="0" fontId="26" fillId="21" borderId="0" applyNumberFormat="0" applyBorder="0" applyAlignment="0" applyProtection="0"/>
    <xf numFmtId="0" fontId="26" fillId="22" borderId="0" applyNumberFormat="0" applyBorder="0" applyAlignment="0" applyProtection="0"/>
    <xf numFmtId="0" fontId="26" fillId="22" borderId="0" applyNumberFormat="0" applyBorder="0" applyAlignment="0" applyProtection="0"/>
    <xf numFmtId="0" fontId="26" fillId="22" borderId="0" applyNumberFormat="0" applyBorder="0" applyAlignment="0" applyProtection="0"/>
    <xf numFmtId="0" fontId="26" fillId="27" borderId="0" applyNumberFormat="0" applyBorder="0" applyAlignment="0" applyProtection="0"/>
    <xf numFmtId="0" fontId="26" fillId="27" borderId="0" applyNumberFormat="0" applyBorder="0" applyAlignment="0" applyProtection="0"/>
    <xf numFmtId="0" fontId="26" fillId="27" borderId="0" applyNumberFormat="0" applyBorder="0" applyAlignment="0" applyProtection="0"/>
    <xf numFmtId="0" fontId="27" fillId="11" borderId="0" applyNumberFormat="0" applyBorder="0" applyAlignment="0" applyProtection="0"/>
    <xf numFmtId="0" fontId="27" fillId="11" borderId="0" applyNumberFormat="0" applyBorder="0" applyAlignment="0" applyProtection="0"/>
    <xf numFmtId="0" fontId="27" fillId="11" borderId="0" applyNumberFormat="0" applyBorder="0" applyAlignment="0" applyProtection="0"/>
    <xf numFmtId="0" fontId="28" fillId="28" borderId="16" applyNumberFormat="0" applyAlignment="0" applyProtection="0"/>
    <xf numFmtId="0" fontId="28" fillId="28" borderId="16" applyNumberFormat="0" applyAlignment="0" applyProtection="0"/>
    <xf numFmtId="0" fontId="28" fillId="28" borderId="16" applyNumberFormat="0" applyAlignment="0" applyProtection="0"/>
    <xf numFmtId="0" fontId="29" fillId="29" borderId="17" applyNumberFormat="0" applyAlignment="0" applyProtection="0"/>
    <xf numFmtId="0" fontId="29" fillId="29" borderId="17" applyNumberFormat="0" applyAlignment="0" applyProtection="0"/>
    <xf numFmtId="0" fontId="29" fillId="29" borderId="17" applyNumberFormat="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1" fillId="12" borderId="0" applyNumberFormat="0" applyBorder="0" applyAlignment="0" applyProtection="0"/>
    <xf numFmtId="0" fontId="31" fillId="12" borderId="0" applyNumberFormat="0" applyBorder="0" applyAlignment="0" applyProtection="0"/>
    <xf numFmtId="0" fontId="31" fillId="12" borderId="0" applyNumberFormat="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4" fillId="0" borderId="20" applyNumberFormat="0" applyFill="0" applyAlignment="0" applyProtection="0"/>
    <xf numFmtId="0" fontId="34" fillId="0" borderId="20" applyNumberFormat="0" applyFill="0" applyAlignment="0" applyProtection="0"/>
    <xf numFmtId="0" fontId="34" fillId="0" borderId="20" applyNumberFormat="0" applyFill="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5" fillId="15" borderId="16" applyNumberFormat="0" applyAlignment="0" applyProtection="0"/>
    <xf numFmtId="0" fontId="35" fillId="15" borderId="16" applyNumberFormat="0" applyAlignment="0" applyProtection="0"/>
    <xf numFmtId="0" fontId="35" fillId="15" borderId="16" applyNumberFormat="0" applyAlignment="0" applyProtection="0"/>
    <xf numFmtId="0" fontId="36" fillId="0" borderId="21" applyNumberFormat="0" applyFill="0" applyAlignment="0" applyProtection="0"/>
    <xf numFmtId="0" fontId="36" fillId="0" borderId="21" applyNumberFormat="0" applyFill="0" applyAlignment="0" applyProtection="0"/>
    <xf numFmtId="0" fontId="36" fillId="0" borderId="21" applyNumberFormat="0" applyFill="0" applyAlignment="0" applyProtection="0"/>
    <xf numFmtId="0" fontId="37" fillId="30" borderId="0" applyNumberFormat="0" applyBorder="0" applyAlignment="0" applyProtection="0"/>
    <xf numFmtId="0" fontId="37" fillId="30" borderId="0" applyNumberFormat="0" applyBorder="0" applyAlignment="0" applyProtection="0"/>
    <xf numFmtId="0" fontId="37" fillId="30" borderId="0" applyNumberFormat="0" applyBorder="0" applyAlignment="0" applyProtection="0"/>
    <xf numFmtId="0" fontId="10" fillId="0" borderId="0"/>
    <xf numFmtId="0" fontId="10" fillId="0" borderId="0"/>
    <xf numFmtId="0" fontId="10" fillId="0" borderId="0"/>
    <xf numFmtId="0" fontId="10" fillId="0" borderId="0"/>
    <xf numFmtId="0" fontId="10" fillId="31" borderId="22" applyNumberFormat="0" applyFont="0" applyAlignment="0" applyProtection="0"/>
    <xf numFmtId="0" fontId="10" fillId="31" borderId="22" applyNumberFormat="0" applyFont="0" applyAlignment="0" applyProtection="0"/>
    <xf numFmtId="0" fontId="10" fillId="31" borderId="22" applyNumberFormat="0" applyFont="0" applyAlignment="0" applyProtection="0"/>
    <xf numFmtId="0" fontId="38" fillId="28" borderId="23" applyNumberFormat="0" applyAlignment="0" applyProtection="0"/>
    <xf numFmtId="0" fontId="38" fillId="28" borderId="23" applyNumberFormat="0" applyAlignment="0" applyProtection="0"/>
    <xf numFmtId="0" fontId="38" fillId="28" borderId="23" applyNumberFormat="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40" fillId="0" borderId="24" applyNumberFormat="0" applyFill="0" applyAlignment="0" applyProtection="0"/>
    <xf numFmtId="0" fontId="40" fillId="0" borderId="24" applyNumberFormat="0" applyFill="0" applyAlignment="0" applyProtection="0"/>
    <xf numFmtId="0" fontId="40" fillId="0" borderId="24" applyNumberFormat="0" applyFill="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 fillId="0" borderId="0"/>
    <xf numFmtId="0" fontId="53" fillId="0" borderId="0"/>
    <xf numFmtId="0" fontId="2" fillId="0" borderId="0"/>
    <xf numFmtId="0" fontId="2" fillId="0" borderId="0"/>
    <xf numFmtId="0" fontId="28" fillId="28" borderId="61" applyNumberFormat="0" applyAlignment="0" applyProtection="0"/>
    <xf numFmtId="0" fontId="28" fillId="28" borderId="61" applyNumberFormat="0" applyAlignment="0" applyProtection="0"/>
    <xf numFmtId="0" fontId="28" fillId="28" borderId="61" applyNumberFormat="0" applyAlignment="0" applyProtection="0"/>
    <xf numFmtId="0" fontId="35" fillId="15" borderId="61" applyNumberFormat="0" applyAlignment="0" applyProtection="0"/>
    <xf numFmtId="0" fontId="35" fillId="15" borderId="61" applyNumberFormat="0" applyAlignment="0" applyProtection="0"/>
    <xf numFmtId="0" fontId="35" fillId="15" borderId="61" applyNumberFormat="0" applyAlignment="0" applyProtection="0"/>
    <xf numFmtId="0" fontId="10" fillId="31" borderId="62" applyNumberFormat="0" applyFont="0" applyAlignment="0" applyProtection="0"/>
    <xf numFmtId="0" fontId="10" fillId="31" borderId="62" applyNumberFormat="0" applyFont="0" applyAlignment="0" applyProtection="0"/>
    <xf numFmtId="0" fontId="10" fillId="31" borderId="62" applyNumberFormat="0" applyFont="0" applyAlignment="0" applyProtection="0"/>
    <xf numFmtId="0" fontId="38" fillId="28" borderId="63" applyNumberFormat="0" applyAlignment="0" applyProtection="0"/>
    <xf numFmtId="0" fontId="38" fillId="28" borderId="63" applyNumberFormat="0" applyAlignment="0" applyProtection="0"/>
    <xf numFmtId="0" fontId="38" fillId="28" borderId="63" applyNumberFormat="0" applyAlignment="0" applyProtection="0"/>
    <xf numFmtId="0" fontId="40" fillId="0" borderId="64" applyNumberFormat="0" applyFill="0" applyAlignment="0" applyProtection="0"/>
    <xf numFmtId="0" fontId="40" fillId="0" borderId="64" applyNumberFormat="0" applyFill="0" applyAlignment="0" applyProtection="0"/>
    <xf numFmtId="0" fontId="40" fillId="0" borderId="64" applyNumberFormat="0" applyFill="0" applyAlignment="0" applyProtection="0"/>
    <xf numFmtId="0" fontId="2" fillId="0" borderId="0"/>
  </cellStyleXfs>
  <cellXfs count="419">
    <xf numFmtId="0" fontId="0" fillId="0" borderId="0" xfId="0"/>
    <xf numFmtId="0" fontId="7" fillId="2" borderId="1" xfId="0" applyFont="1" applyFill="1" applyBorder="1" applyAlignment="1">
      <alignment horizontal="left" vertical="center" wrapText="1"/>
    </xf>
    <xf numFmtId="0" fontId="8" fillId="2" borderId="0" xfId="0" applyFont="1" applyFill="1" applyAlignment="1">
      <alignment horizontal="center" wrapText="1"/>
    </xf>
    <xf numFmtId="0" fontId="9" fillId="2" borderId="0" xfId="0" applyFont="1" applyFill="1" applyAlignment="1">
      <alignment horizontal="center" wrapText="1"/>
    </xf>
    <xf numFmtId="0" fontId="9" fillId="0" borderId="0" xfId="0" applyFont="1" applyFill="1" applyAlignment="1">
      <alignment horizontal="center" wrapText="1"/>
    </xf>
    <xf numFmtId="0" fontId="17" fillId="0" borderId="11" xfId="2" applyFont="1" applyFill="1" applyBorder="1" applyAlignment="1">
      <alignment horizontal="left" vertical="center" wrapText="1"/>
    </xf>
    <xf numFmtId="164" fontId="18" fillId="0" borderId="12" xfId="2" applyNumberFormat="1" applyFont="1" applyFill="1" applyBorder="1" applyAlignment="1">
      <alignment horizontal="center" vertical="center" wrapText="1"/>
    </xf>
    <xf numFmtId="0" fontId="18" fillId="0" borderId="9" xfId="2" applyFont="1" applyBorder="1" applyAlignment="1" applyProtection="1"/>
    <xf numFmtId="165" fontId="0" fillId="0" borderId="0" xfId="0" applyNumberFormat="1"/>
    <xf numFmtId="6" fontId="7" fillId="2" borderId="1" xfId="0" applyNumberFormat="1" applyFont="1" applyFill="1" applyBorder="1" applyAlignment="1">
      <alignment horizontal="right" vertical="center" wrapText="1"/>
    </xf>
    <xf numFmtId="0" fontId="16" fillId="4" borderId="11" xfId="2" applyFont="1" applyFill="1" applyBorder="1" applyAlignment="1">
      <alignment horizontal="center" vertical="center" wrapText="1"/>
    </xf>
    <xf numFmtId="165" fontId="16" fillId="4" borderId="12" xfId="2" applyNumberFormat="1" applyFont="1" applyFill="1" applyBorder="1" applyAlignment="1">
      <alignment horizontal="right" vertical="center" wrapText="1"/>
    </xf>
    <xf numFmtId="165" fontId="16" fillId="4" borderId="14" xfId="2" applyNumberFormat="1" applyFont="1" applyFill="1" applyBorder="1" applyAlignment="1">
      <alignment horizontal="right" vertical="center" wrapText="1"/>
    </xf>
    <xf numFmtId="167" fontId="18" fillId="0" borderId="1" xfId="2" applyNumberFormat="1" applyFont="1" applyFill="1" applyBorder="1" applyAlignment="1">
      <alignment horizontal="right" vertical="center" wrapText="1"/>
    </xf>
    <xf numFmtId="0" fontId="20"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2" borderId="0" xfId="0" applyFont="1" applyFill="1" applyAlignment="1">
      <alignment wrapText="1"/>
    </xf>
    <xf numFmtId="6" fontId="7" fillId="0" borderId="1" xfId="0" applyNumberFormat="1" applyFont="1" applyFill="1" applyBorder="1" applyAlignment="1">
      <alignment horizontal="right" vertical="center" wrapText="1"/>
    </xf>
    <xf numFmtId="168" fontId="14" fillId="0" borderId="0" xfId="0" applyNumberFormat="1" applyFont="1" applyAlignment="1">
      <alignment wrapText="1"/>
    </xf>
    <xf numFmtId="6" fontId="7" fillId="2" borderId="1" xfId="0" applyNumberFormat="1" applyFont="1" applyFill="1" applyBorder="1" applyAlignment="1">
      <alignment horizontal="center" vertical="center" wrapText="1"/>
    </xf>
    <xf numFmtId="0" fontId="19" fillId="0" borderId="0" xfId="0" applyFont="1" applyAlignment="1">
      <alignment wrapText="1"/>
    </xf>
    <xf numFmtId="0" fontId="19" fillId="0" borderId="0" xfId="0" applyFont="1" applyAlignment="1">
      <alignment horizontal="center" wrapText="1"/>
    </xf>
    <xf numFmtId="0" fontId="19" fillId="0" borderId="1" xfId="0" applyFont="1" applyBorder="1" applyAlignment="1">
      <alignment horizontal="center" vertical="center" wrapText="1"/>
    </xf>
    <xf numFmtId="0" fontId="5" fillId="0" borderId="0" xfId="4"/>
    <xf numFmtId="0" fontId="43" fillId="32" borderId="26" xfId="4" applyFont="1" applyFill="1" applyBorder="1" applyAlignment="1">
      <alignment horizontal="center" vertical="center" wrapText="1"/>
    </xf>
    <xf numFmtId="0" fontId="43" fillId="32" borderId="27" xfId="4" applyFont="1" applyFill="1" applyBorder="1" applyAlignment="1">
      <alignment horizontal="center" vertical="center" wrapText="1"/>
    </xf>
    <xf numFmtId="0" fontId="43" fillId="0" borderId="28" xfId="4" applyFont="1" applyBorder="1" applyAlignment="1">
      <alignment horizontal="left" vertical="center" wrapText="1" indent="1"/>
    </xf>
    <xf numFmtId="3" fontId="43" fillId="0" borderId="29" xfId="4" applyNumberFormat="1" applyFont="1" applyBorder="1" applyAlignment="1">
      <alignment horizontal="right" vertical="center" wrapText="1"/>
    </xf>
    <xf numFmtId="4" fontId="44" fillId="0" borderId="29" xfId="4" applyNumberFormat="1" applyFont="1" applyBorder="1" applyAlignment="1">
      <alignment horizontal="center" vertical="center" wrapText="1"/>
    </xf>
    <xf numFmtId="0" fontId="42" fillId="0" borderId="28" xfId="4" applyFont="1" applyBorder="1" applyAlignment="1">
      <alignment horizontal="left" vertical="center" wrapText="1" indent="4"/>
    </xf>
    <xf numFmtId="3" fontId="42" fillId="0" borderId="29" xfId="4" applyNumberFormat="1" applyFont="1" applyBorder="1" applyAlignment="1">
      <alignment horizontal="right" vertical="center" wrapText="1"/>
    </xf>
    <xf numFmtId="0" fontId="43" fillId="32" borderId="28" xfId="4" applyFont="1" applyFill="1" applyBorder="1" applyAlignment="1">
      <alignment vertical="center" wrapText="1"/>
    </xf>
    <xf numFmtId="4" fontId="44" fillId="8" borderId="29" xfId="4" applyNumberFormat="1" applyFont="1" applyFill="1" applyBorder="1" applyAlignment="1">
      <alignment horizontal="center" vertical="center" wrapText="1"/>
    </xf>
    <xf numFmtId="3" fontId="46" fillId="0" borderId="31" xfId="4" applyNumberFormat="1" applyFont="1" applyBorder="1" applyAlignment="1">
      <alignment horizontal="center" vertical="center" wrapText="1"/>
    </xf>
    <xf numFmtId="0" fontId="47" fillId="0" borderId="0" xfId="4" applyFont="1" applyAlignment="1">
      <alignment vertical="center"/>
    </xf>
    <xf numFmtId="3" fontId="5" fillId="0" borderId="0" xfId="4" applyNumberFormat="1"/>
    <xf numFmtId="0" fontId="18" fillId="0" borderId="1" xfId="2" applyFont="1" applyBorder="1" applyAlignment="1" applyProtection="1"/>
    <xf numFmtId="0" fontId="8" fillId="2" borderId="0" xfId="0" applyFont="1" applyFill="1" applyBorder="1" applyAlignment="1">
      <alignment horizontal="center" wrapText="1"/>
    </xf>
    <xf numFmtId="0" fontId="9" fillId="2" borderId="0" xfId="0" applyFont="1" applyFill="1" applyBorder="1" applyAlignment="1">
      <alignment horizontal="center" wrapText="1"/>
    </xf>
    <xf numFmtId="0" fontId="9" fillId="0" borderId="0" xfId="0" applyFont="1" applyFill="1" applyBorder="1" applyAlignment="1">
      <alignment horizontal="center" wrapText="1"/>
    </xf>
    <xf numFmtId="0" fontId="24" fillId="4" borderId="1" xfId="2" applyFont="1" applyFill="1" applyBorder="1" applyAlignment="1">
      <alignment horizontal="center" vertical="center" wrapText="1"/>
    </xf>
    <xf numFmtId="0" fontId="16" fillId="4" borderId="9" xfId="116" applyFont="1" applyFill="1" applyBorder="1" applyAlignment="1">
      <alignment horizontal="center" vertical="center" wrapText="1"/>
    </xf>
    <xf numFmtId="0" fontId="16" fillId="4" borderId="1" xfId="116" applyFont="1" applyFill="1" applyBorder="1" applyAlignment="1">
      <alignment horizontal="center" vertical="center" wrapText="1"/>
    </xf>
    <xf numFmtId="0" fontId="16" fillId="4" borderId="10" xfId="116" applyFont="1" applyFill="1" applyBorder="1" applyAlignment="1">
      <alignment horizontal="center" vertical="center" wrapText="1"/>
    </xf>
    <xf numFmtId="0" fontId="17" fillId="0" borderId="11" xfId="116" applyFont="1" applyFill="1" applyBorder="1" applyAlignment="1">
      <alignment horizontal="left" vertical="center" wrapText="1"/>
    </xf>
    <xf numFmtId="0" fontId="18" fillId="0" borderId="9" xfId="116" applyFont="1" applyBorder="1" applyAlignment="1" applyProtection="1"/>
    <xf numFmtId="0" fontId="16" fillId="4" borderId="2" xfId="116" applyFont="1" applyFill="1" applyBorder="1" applyAlignment="1">
      <alignment horizontal="center" vertical="center" wrapText="1"/>
    </xf>
    <xf numFmtId="0" fontId="16" fillId="4" borderId="4" xfId="116" applyFont="1" applyFill="1" applyBorder="1" applyAlignment="1">
      <alignment horizontal="center" vertical="center" wrapText="1"/>
    </xf>
    <xf numFmtId="0" fontId="0" fillId="0" borderId="0" xfId="0" applyBorder="1"/>
    <xf numFmtId="164" fontId="52" fillId="0" borderId="12" xfId="2" applyNumberFormat="1" applyFont="1" applyFill="1" applyBorder="1" applyAlignment="1">
      <alignment horizontal="center" vertical="center" wrapText="1"/>
    </xf>
    <xf numFmtId="43" fontId="7" fillId="2" borderId="1" xfId="0" applyNumberFormat="1" applyFont="1" applyFill="1" applyBorder="1" applyAlignment="1">
      <alignment horizontal="left" vertical="center" wrapText="1"/>
    </xf>
    <xf numFmtId="0" fontId="19" fillId="0" borderId="1" xfId="0" applyFont="1" applyFill="1" applyBorder="1" applyAlignment="1">
      <alignment horizontal="center" vertical="center" wrapText="1"/>
    </xf>
    <xf numFmtId="6" fontId="7" fillId="0" borderId="1"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3" fontId="7" fillId="0" borderId="1" xfId="0" applyNumberFormat="1" applyFont="1" applyFill="1" applyBorder="1" applyAlignment="1">
      <alignment horizontal="left" vertical="center" wrapText="1"/>
    </xf>
    <xf numFmtId="3" fontId="7" fillId="2" borderId="1" xfId="0" applyNumberFormat="1" applyFont="1" applyFill="1" applyBorder="1" applyAlignment="1">
      <alignment horizontal="left" vertical="center" wrapText="1"/>
    </xf>
    <xf numFmtId="0" fontId="19" fillId="0" borderId="0" xfId="0" applyFont="1" applyBorder="1" applyAlignment="1">
      <alignment wrapText="1"/>
    </xf>
    <xf numFmtId="0" fontId="19" fillId="0" borderId="1" xfId="0" applyFont="1" applyBorder="1" applyAlignment="1">
      <alignment wrapText="1"/>
    </xf>
    <xf numFmtId="0" fontId="19" fillId="0" borderId="36" xfId="0" applyFont="1" applyBorder="1" applyAlignment="1">
      <alignment wrapText="1"/>
    </xf>
    <xf numFmtId="0" fontId="45" fillId="0" borderId="46" xfId="4" applyFont="1" applyBorder="1" applyAlignment="1">
      <alignment horizontal="center" vertical="center" wrapText="1"/>
    </xf>
    <xf numFmtId="0" fontId="45" fillId="33" borderId="48" xfId="4" applyFont="1" applyFill="1" applyBorder="1" applyAlignment="1">
      <alignment horizontal="center" vertical="center" wrapText="1"/>
    </xf>
    <xf numFmtId="0" fontId="45" fillId="33" borderId="29" xfId="4" applyFont="1" applyFill="1" applyBorder="1" applyAlignment="1">
      <alignment horizontal="center" vertical="center" wrapText="1"/>
    </xf>
    <xf numFmtId="0" fontId="45" fillId="8" borderId="43" xfId="4" applyFont="1" applyFill="1" applyBorder="1" applyAlignment="1">
      <alignment horizontal="center" vertical="center" wrapText="1"/>
    </xf>
    <xf numFmtId="3" fontId="23" fillId="8" borderId="7" xfId="4" applyNumberFormat="1" applyFont="1" applyFill="1" applyBorder="1" applyAlignment="1">
      <alignment horizontal="center"/>
    </xf>
    <xf numFmtId="0" fontId="45" fillId="8" borderId="44" xfId="4" applyFont="1" applyFill="1" applyBorder="1" applyAlignment="1">
      <alignment horizontal="center" vertical="center" wrapText="1"/>
    </xf>
    <xf numFmtId="0" fontId="45" fillId="8" borderId="45" xfId="4" applyFont="1" applyFill="1" applyBorder="1" applyAlignment="1">
      <alignment horizontal="center" vertical="center" wrapText="1"/>
    </xf>
    <xf numFmtId="4" fontId="45" fillId="0" borderId="47" xfId="4" applyNumberFormat="1" applyFont="1" applyBorder="1" applyAlignment="1">
      <alignment horizontal="center" vertical="center" wrapText="1"/>
    </xf>
    <xf numFmtId="3" fontId="45" fillId="0" borderId="31" xfId="4" applyNumberFormat="1" applyFont="1" applyBorder="1" applyAlignment="1">
      <alignment horizontal="center" vertical="center" wrapText="1"/>
    </xf>
    <xf numFmtId="3" fontId="22" fillId="37" borderId="1" xfId="3" applyNumberFormat="1" applyFont="1" applyFill="1" applyBorder="1" applyAlignment="1" applyProtection="1">
      <alignment horizontal="right" vertical="center" wrapText="1"/>
    </xf>
    <xf numFmtId="0" fontId="6" fillId="0" borderId="0" xfId="3" applyProtection="1">
      <protection locked="0"/>
    </xf>
    <xf numFmtId="0" fontId="22" fillId="37" borderId="1" xfId="0" applyFont="1" applyFill="1" applyBorder="1" applyAlignment="1" applyProtection="1">
      <alignment horizontal="left" vertical="center" wrapText="1"/>
      <protection locked="0"/>
    </xf>
    <xf numFmtId="3" fontId="22" fillId="37" borderId="1" xfId="0" applyNumberFormat="1" applyFont="1" applyFill="1" applyBorder="1" applyAlignment="1" applyProtection="1">
      <alignment horizontal="right" vertical="center" wrapText="1"/>
      <protection locked="0"/>
    </xf>
    <xf numFmtId="0" fontId="22" fillId="0" borderId="0" xfId="3" applyFont="1" applyProtection="1">
      <protection locked="0"/>
    </xf>
    <xf numFmtId="0" fontId="5" fillId="0" borderId="0" xfId="4" applyProtection="1">
      <protection locked="0"/>
    </xf>
    <xf numFmtId="4" fontId="5" fillId="35" borderId="1" xfId="4" applyNumberFormat="1" applyFill="1" applyBorder="1" applyAlignment="1" applyProtection="1">
      <alignment horizontal="center"/>
      <protection locked="0"/>
    </xf>
    <xf numFmtId="3" fontId="5" fillId="0" borderId="0" xfId="4" applyNumberFormat="1" applyProtection="1">
      <protection locked="0"/>
    </xf>
    <xf numFmtId="3" fontId="5" fillId="35" borderId="1" xfId="4" applyNumberFormat="1" applyFill="1" applyBorder="1" applyAlignment="1" applyProtection="1">
      <alignment horizontal="center"/>
      <protection locked="0"/>
    </xf>
    <xf numFmtId="3" fontId="23" fillId="35" borderId="1" xfId="4" applyNumberFormat="1" applyFont="1" applyFill="1" applyBorder="1" applyAlignment="1" applyProtection="1">
      <alignment horizontal="center"/>
      <protection locked="0"/>
    </xf>
    <xf numFmtId="3" fontId="5" fillId="0" borderId="0" xfId="4" applyNumberFormat="1" applyFill="1" applyProtection="1">
      <protection locked="0"/>
    </xf>
    <xf numFmtId="0" fontId="5" fillId="0" borderId="0" xfId="4" applyFill="1" applyProtection="1">
      <protection locked="0"/>
    </xf>
    <xf numFmtId="0" fontId="22" fillId="0" borderId="0" xfId="4" applyFont="1" applyProtection="1">
      <protection locked="0"/>
    </xf>
    <xf numFmtId="3" fontId="5" fillId="0" borderId="0" xfId="4" applyNumberFormat="1" applyAlignment="1" applyProtection="1">
      <alignment horizontal="center"/>
      <protection locked="0"/>
    </xf>
    <xf numFmtId="0" fontId="5" fillId="0" borderId="0" xfId="4" applyAlignment="1" applyProtection="1">
      <alignment horizontal="center"/>
      <protection locked="0"/>
    </xf>
    <xf numFmtId="0" fontId="5" fillId="0" borderId="1" xfId="4" applyBorder="1" applyAlignment="1" applyProtection="1">
      <alignment horizontal="left" vertical="center" wrapText="1"/>
    </xf>
    <xf numFmtId="3" fontId="23" fillId="0" borderId="1" xfId="4" applyNumberFormat="1" applyFont="1" applyBorder="1" applyProtection="1"/>
    <xf numFmtId="0" fontId="22" fillId="0" borderId="1" xfId="3" applyFont="1" applyFill="1" applyBorder="1" applyAlignment="1" applyProtection="1">
      <alignment horizontal="left" vertical="center" wrapText="1"/>
      <protection locked="0"/>
    </xf>
    <xf numFmtId="3" fontId="22" fillId="0" borderId="1" xfId="0" applyNumberFormat="1" applyFont="1" applyFill="1" applyBorder="1" applyAlignment="1" applyProtection="1">
      <alignment horizontal="right" vertical="center" wrapText="1"/>
      <protection locked="0"/>
    </xf>
    <xf numFmtId="3" fontId="22" fillId="0" borderId="1" xfId="3" applyNumberFormat="1" applyFont="1" applyFill="1" applyBorder="1" applyAlignment="1" applyProtection="1">
      <alignment horizontal="right" vertical="center" wrapText="1"/>
    </xf>
    <xf numFmtId="3" fontId="0" fillId="0" borderId="0" xfId="0" applyNumberFormat="1"/>
    <xf numFmtId="0" fontId="22" fillId="0" borderId="0" xfId="0" applyFont="1" applyBorder="1" applyAlignment="1">
      <alignment vertical="top" wrapText="1"/>
    </xf>
    <xf numFmtId="3" fontId="22" fillId="0" borderId="0" xfId="0" applyNumberFormat="1" applyFont="1" applyBorder="1" applyAlignment="1">
      <alignment vertical="center"/>
    </xf>
    <xf numFmtId="3" fontId="22" fillId="0" borderId="0" xfId="0" applyNumberFormat="1" applyFont="1" applyFill="1" applyBorder="1" applyAlignment="1">
      <alignment vertical="center"/>
    </xf>
    <xf numFmtId="0" fontId="22" fillId="0" borderId="0" xfId="0" applyFont="1" applyFill="1" applyBorder="1" applyAlignment="1">
      <alignment vertical="top" wrapText="1"/>
    </xf>
    <xf numFmtId="0" fontId="0" fillId="0" borderId="0" xfId="0" applyAlignment="1">
      <alignment wrapText="1"/>
    </xf>
    <xf numFmtId="0" fontId="42" fillId="0" borderId="28" xfId="4" applyFont="1" applyBorder="1" applyAlignment="1">
      <alignment horizontal="left" vertical="center" wrapText="1"/>
    </xf>
    <xf numFmtId="0" fontId="43" fillId="0" borderId="28" xfId="4" applyFont="1" applyBorder="1" applyAlignment="1">
      <alignment horizontal="left" vertical="center" wrapText="1"/>
    </xf>
    <xf numFmtId="0" fontId="43" fillId="8" borderId="28" xfId="4" applyFont="1" applyFill="1" applyBorder="1" applyAlignment="1">
      <alignment horizontal="left" vertical="center" wrapText="1" indent="1"/>
    </xf>
    <xf numFmtId="3" fontId="43" fillId="8" borderId="29" xfId="4" applyNumberFormat="1" applyFont="1" applyFill="1" applyBorder="1" applyAlignment="1">
      <alignment horizontal="right" vertical="center" wrapText="1"/>
    </xf>
    <xf numFmtId="0" fontId="43" fillId="37" borderId="28" xfId="4" applyFont="1" applyFill="1" applyBorder="1" applyAlignment="1">
      <alignment horizontal="left" vertical="center" wrapText="1" indent="1"/>
    </xf>
    <xf numFmtId="3" fontId="43" fillId="37" borderId="29" xfId="4" applyNumberFormat="1" applyFont="1" applyFill="1" applyBorder="1" applyAlignment="1">
      <alignment horizontal="right" vertical="center" wrapText="1"/>
    </xf>
    <xf numFmtId="4" fontId="44" fillId="37" borderId="29" xfId="4" applyNumberFormat="1" applyFont="1" applyFill="1" applyBorder="1" applyAlignment="1">
      <alignment horizontal="center" vertical="center" wrapText="1"/>
    </xf>
    <xf numFmtId="3" fontId="42" fillId="37" borderId="29" xfId="4" applyNumberFormat="1" applyFont="1" applyFill="1" applyBorder="1" applyAlignment="1">
      <alignment horizontal="right" vertical="center" wrapText="1"/>
    </xf>
    <xf numFmtId="6" fontId="8" fillId="2" borderId="1" xfId="0" applyNumberFormat="1" applyFont="1" applyFill="1" applyBorder="1" applyAlignment="1">
      <alignment horizontal="center" vertical="center" wrapText="1"/>
    </xf>
    <xf numFmtId="3" fontId="45" fillId="33" borderId="49" xfId="4" applyNumberFormat="1" applyFont="1" applyFill="1" applyBorder="1" applyAlignment="1">
      <alignment horizontal="center" vertical="center" wrapText="1"/>
    </xf>
    <xf numFmtId="6" fontId="0" fillId="2" borderId="1" xfId="0" applyNumberFormat="1" applyFont="1" applyFill="1" applyBorder="1" applyAlignment="1">
      <alignment horizontal="center" vertical="center" wrapText="1"/>
    </xf>
    <xf numFmtId="0" fontId="18" fillId="0" borderId="34" xfId="2" applyFont="1" applyBorder="1" applyAlignment="1" applyProtection="1"/>
    <xf numFmtId="167" fontId="18" fillId="0" borderId="33" xfId="2" applyNumberFormat="1" applyFont="1" applyFill="1" applyBorder="1" applyAlignment="1">
      <alignment horizontal="right" vertical="center" wrapText="1"/>
    </xf>
    <xf numFmtId="0" fontId="22" fillId="37" borderId="1" xfId="3" applyFont="1" applyFill="1" applyBorder="1" applyAlignment="1" applyProtection="1">
      <alignment horizontal="left" vertical="center" wrapText="1"/>
      <protection locked="0"/>
    </xf>
    <xf numFmtId="0" fontId="14" fillId="37" borderId="32" xfId="0" applyFont="1" applyFill="1" applyBorder="1" applyAlignment="1">
      <alignment vertical="center"/>
    </xf>
    <xf numFmtId="0" fontId="14" fillId="37" borderId="32" xfId="0" applyFont="1" applyFill="1" applyBorder="1" applyAlignment="1">
      <alignment horizontal="center" vertical="center" wrapText="1"/>
    </xf>
    <xf numFmtId="0" fontId="21" fillId="0" borderId="0" xfId="3" applyFont="1" applyProtection="1">
      <protection locked="0"/>
    </xf>
    <xf numFmtId="0" fontId="22" fillId="0" borderId="1" xfId="0" applyFont="1" applyFill="1" applyBorder="1" applyAlignment="1" applyProtection="1">
      <alignment horizontal="left" vertical="center" wrapText="1"/>
      <protection locked="0"/>
    </xf>
    <xf numFmtId="0" fontId="22" fillId="0" borderId="1" xfId="0" applyFont="1" applyBorder="1" applyAlignment="1">
      <alignment vertical="center" wrapText="1"/>
    </xf>
    <xf numFmtId="0" fontId="22" fillId="2" borderId="1" xfId="0" applyFont="1" applyFill="1" applyBorder="1" applyAlignment="1" applyProtection="1">
      <alignment horizontal="left" vertical="center" wrapText="1"/>
      <protection locked="0"/>
    </xf>
    <xf numFmtId="3" fontId="22" fillId="2" borderId="1" xfId="0" applyNumberFormat="1" applyFont="1" applyFill="1" applyBorder="1" applyAlignment="1" applyProtection="1">
      <alignment horizontal="right" vertical="center" wrapText="1"/>
      <protection locked="0"/>
    </xf>
    <xf numFmtId="0" fontId="22" fillId="0" borderId="1" xfId="3" applyFont="1" applyBorder="1" applyProtection="1">
      <protection locked="0"/>
    </xf>
    <xf numFmtId="3" fontId="14" fillId="5" borderId="1" xfId="0" applyNumberFormat="1" applyFont="1" applyFill="1" applyBorder="1" applyAlignment="1" applyProtection="1">
      <alignment horizontal="center" wrapText="1"/>
      <protection locked="0"/>
    </xf>
    <xf numFmtId="0" fontId="6" fillId="0" borderId="1" xfId="3" applyBorder="1" applyProtection="1">
      <protection locked="0"/>
    </xf>
    <xf numFmtId="0" fontId="21" fillId="6" borderId="1" xfId="3" applyFont="1" applyFill="1" applyBorder="1" applyAlignment="1" applyProtection="1">
      <alignment horizontal="center" vertical="center"/>
      <protection locked="0"/>
    </xf>
    <xf numFmtId="0" fontId="21" fillId="6" borderId="1" xfId="3" applyFont="1" applyFill="1" applyBorder="1" applyAlignment="1" applyProtection="1">
      <alignment horizontal="center" vertical="center" wrapText="1"/>
      <protection locked="0"/>
    </xf>
    <xf numFmtId="0" fontId="21" fillId="39" borderId="1" xfId="3" applyFont="1" applyFill="1" applyBorder="1" applyAlignment="1" applyProtection="1">
      <alignment horizontal="center"/>
      <protection locked="0"/>
    </xf>
    <xf numFmtId="3" fontId="21" fillId="39" borderId="1" xfId="3" applyNumberFormat="1" applyFont="1" applyFill="1" applyBorder="1" applyAlignment="1" applyProtection="1">
      <alignment horizontal="center"/>
      <protection locked="0"/>
    </xf>
    <xf numFmtId="0" fontId="8" fillId="42" borderId="1" xfId="0" applyFont="1" applyFill="1" applyBorder="1" applyAlignment="1">
      <alignment horizontal="left" wrapText="1"/>
    </xf>
    <xf numFmtId="0" fontId="22" fillId="0" borderId="1" xfId="0" applyFont="1" applyBorder="1" applyAlignment="1">
      <alignment wrapText="1"/>
    </xf>
    <xf numFmtId="0" fontId="21" fillId="0" borderId="1" xfId="0" applyFont="1" applyBorder="1" applyAlignment="1">
      <alignment wrapText="1"/>
    </xf>
    <xf numFmtId="0" fontId="22" fillId="37" borderId="1" xfId="0" applyFont="1" applyFill="1" applyBorder="1" applyAlignment="1">
      <alignment vertical="center" wrapText="1"/>
    </xf>
    <xf numFmtId="0" fontId="22" fillId="37" borderId="1" xfId="0" applyFont="1" applyFill="1" applyBorder="1" applyAlignment="1">
      <alignment wrapText="1"/>
    </xf>
    <xf numFmtId="0" fontId="21" fillId="37" borderId="1" xfId="0" applyFont="1" applyFill="1" applyBorder="1" applyAlignment="1">
      <alignment vertical="center" wrapText="1"/>
    </xf>
    <xf numFmtId="0" fontId="21" fillId="0" borderId="1" xfId="3" applyFont="1" applyBorder="1" applyProtection="1">
      <protection locked="0"/>
    </xf>
    <xf numFmtId="0" fontId="21" fillId="5" borderId="1" xfId="3" applyFont="1" applyFill="1" applyBorder="1" applyAlignment="1" applyProtection="1">
      <alignment horizontal="center"/>
      <protection locked="0"/>
    </xf>
    <xf numFmtId="3" fontId="21" fillId="5" borderId="1" xfId="3" applyNumberFormat="1" applyFont="1" applyFill="1" applyBorder="1" applyAlignment="1" applyProtection="1">
      <alignment horizontal="center"/>
      <protection locked="0"/>
    </xf>
    <xf numFmtId="0" fontId="21" fillId="0" borderId="1" xfId="3" applyFont="1" applyFill="1" applyBorder="1" applyAlignment="1" applyProtection="1">
      <alignment vertical="center" wrapText="1"/>
      <protection locked="0"/>
    </xf>
    <xf numFmtId="3" fontId="21" fillId="0" borderId="1" xfId="3" applyNumberFormat="1" applyFont="1" applyFill="1" applyBorder="1" applyAlignment="1" applyProtection="1">
      <alignment horizontal="right" wrapText="1"/>
      <protection locked="0"/>
    </xf>
    <xf numFmtId="0" fontId="21" fillId="41" borderId="1" xfId="0" applyFont="1" applyFill="1" applyBorder="1" applyAlignment="1" applyProtection="1">
      <alignment horizontal="left" vertical="center" wrapText="1"/>
      <protection locked="0"/>
    </xf>
    <xf numFmtId="3" fontId="21" fillId="41" borderId="1" xfId="0" applyNumberFormat="1" applyFont="1" applyFill="1" applyBorder="1" applyAlignment="1" applyProtection="1">
      <alignment horizontal="right" vertical="center" wrapText="1"/>
      <protection locked="0"/>
    </xf>
    <xf numFmtId="3" fontId="21" fillId="41" borderId="1" xfId="3" applyNumberFormat="1" applyFont="1" applyFill="1" applyBorder="1" applyAlignment="1" applyProtection="1">
      <alignment horizontal="right" vertical="center" wrapText="1"/>
    </xf>
    <xf numFmtId="0" fontId="21" fillId="41" borderId="1" xfId="3" applyFont="1" applyFill="1" applyBorder="1" applyAlignment="1" applyProtection="1">
      <alignment horizontal="left" vertical="center" wrapText="1"/>
      <protection locked="0"/>
    </xf>
    <xf numFmtId="3" fontId="22" fillId="0" borderId="1" xfId="3" applyNumberFormat="1" applyFont="1" applyBorder="1" applyProtection="1">
      <protection locked="0"/>
    </xf>
    <xf numFmtId="3" fontId="21" fillId="0" borderId="1" xfId="3" applyNumberFormat="1" applyFont="1" applyBorder="1" applyProtection="1">
      <protection locked="0"/>
    </xf>
    <xf numFmtId="3" fontId="23" fillId="35" borderId="4" xfId="4" applyNumberFormat="1" applyFont="1" applyFill="1" applyBorder="1" applyProtection="1">
      <protection locked="0"/>
    </xf>
    <xf numFmtId="3" fontId="23" fillId="0" borderId="4" xfId="4" applyNumberFormat="1" applyFont="1" applyBorder="1" applyProtection="1"/>
    <xf numFmtId="0" fontId="14" fillId="9" borderId="51" xfId="4" applyFont="1" applyFill="1" applyBorder="1" applyAlignment="1" applyProtection="1">
      <alignment horizontal="center"/>
      <protection locked="0"/>
    </xf>
    <xf numFmtId="0" fontId="5" fillId="0" borderId="54" xfId="4" applyBorder="1" applyAlignment="1" applyProtection="1">
      <alignment horizontal="left" vertical="center" wrapText="1"/>
    </xf>
    <xf numFmtId="0" fontId="5" fillId="0" borderId="55" xfId="4" applyBorder="1" applyAlignment="1" applyProtection="1">
      <alignment horizontal="left" vertical="center" wrapText="1"/>
    </xf>
    <xf numFmtId="0" fontId="5" fillId="0" borderId="1" xfId="4" applyBorder="1" applyAlignment="1" applyProtection="1">
      <alignment horizontal="left" vertical="top" wrapText="1"/>
    </xf>
    <xf numFmtId="0" fontId="5" fillId="0" borderId="2" xfId="4" applyBorder="1" applyAlignment="1" applyProtection="1">
      <alignment horizontal="left" vertical="top" wrapText="1"/>
    </xf>
    <xf numFmtId="0" fontId="21" fillId="7" borderId="1" xfId="4" applyFont="1" applyFill="1" applyBorder="1" applyAlignment="1" applyProtection="1">
      <alignment vertical="top" wrapText="1"/>
    </xf>
    <xf numFmtId="0" fontId="21" fillId="40" borderId="1" xfId="4" applyFont="1" applyFill="1" applyBorder="1" applyAlignment="1" applyProtection="1">
      <alignment vertical="top" wrapText="1"/>
    </xf>
    <xf numFmtId="3" fontId="23" fillId="9" borderId="4" xfId="4" applyNumberFormat="1" applyFont="1" applyFill="1" applyBorder="1" applyProtection="1"/>
    <xf numFmtId="4" fontId="23" fillId="35" borderId="1" xfId="4" applyNumberFormat="1" applyFont="1" applyFill="1" applyBorder="1" applyAlignment="1" applyProtection="1">
      <alignment horizontal="center"/>
    </xf>
    <xf numFmtId="3" fontId="23" fillId="9" borderId="1" xfId="4" applyNumberFormat="1" applyFont="1" applyFill="1" applyBorder="1" applyProtection="1"/>
    <xf numFmtId="3" fontId="23" fillId="40" borderId="1" xfId="4" applyNumberFormat="1" applyFont="1" applyFill="1" applyBorder="1" applyProtection="1"/>
    <xf numFmtId="3" fontId="5" fillId="40" borderId="1" xfId="4" applyNumberFormat="1" applyFill="1" applyBorder="1" applyAlignment="1" applyProtection="1">
      <alignment horizontal="center"/>
      <protection locked="0"/>
    </xf>
    <xf numFmtId="3" fontId="5" fillId="40" borderId="1" xfId="4" applyNumberFormat="1" applyFill="1" applyBorder="1" applyProtection="1"/>
    <xf numFmtId="3" fontId="22" fillId="40" borderId="1" xfId="4" applyNumberFormat="1" applyFont="1" applyFill="1" applyBorder="1" applyAlignment="1" applyProtection="1">
      <alignment horizontal="center" vertical="top" wrapText="1"/>
      <protection locked="0"/>
    </xf>
    <xf numFmtId="0" fontId="43" fillId="0" borderId="28" xfId="4" applyFont="1" applyBorder="1" applyAlignment="1">
      <alignment horizontal="left" vertical="center" wrapText="1" indent="4"/>
    </xf>
    <xf numFmtId="0" fontId="22" fillId="9" borderId="1" xfId="0" applyFont="1" applyFill="1" applyBorder="1" applyAlignment="1" applyProtection="1">
      <alignment horizontal="left" vertical="center" wrapText="1"/>
      <protection locked="0"/>
    </xf>
    <xf numFmtId="0" fontId="21" fillId="0" borderId="1" xfId="0" applyFont="1" applyBorder="1" applyAlignment="1" applyProtection="1">
      <alignment vertical="center" wrapText="1"/>
      <protection locked="0"/>
    </xf>
    <xf numFmtId="0" fontId="21" fillId="6" borderId="1" xfId="3" applyFont="1" applyFill="1" applyBorder="1" applyAlignment="1" applyProtection="1">
      <alignment horizontal="center" vertical="center"/>
      <protection locked="0"/>
    </xf>
    <xf numFmtId="0" fontId="21" fillId="5" borderId="1" xfId="3" applyFont="1" applyFill="1" applyBorder="1" applyAlignment="1" applyProtection="1">
      <alignment horizontal="center" vertical="center"/>
      <protection locked="0"/>
    </xf>
    <xf numFmtId="0" fontId="22" fillId="42" borderId="1" xfId="0" applyFont="1" applyFill="1" applyBorder="1" applyAlignment="1" applyProtection="1">
      <alignment horizontal="left" vertical="center" wrapText="1"/>
      <protection locked="0"/>
    </xf>
    <xf numFmtId="3" fontId="22" fillId="42" borderId="1" xfId="0" applyNumberFormat="1" applyFont="1" applyFill="1" applyBorder="1" applyAlignment="1" applyProtection="1">
      <alignment horizontal="right" vertical="center" wrapText="1"/>
      <protection locked="0"/>
    </xf>
    <xf numFmtId="3" fontId="22" fillId="42" borderId="1" xfId="3" applyNumberFormat="1" applyFont="1" applyFill="1" applyBorder="1" applyAlignment="1" applyProtection="1">
      <alignment horizontal="right" vertical="center" wrapText="1"/>
    </xf>
    <xf numFmtId="0" fontId="19" fillId="5" borderId="1" xfId="0" applyFont="1" applyFill="1" applyBorder="1" applyAlignment="1" applyProtection="1">
      <alignment horizontal="center" vertical="center"/>
      <protection locked="0"/>
    </xf>
    <xf numFmtId="0" fontId="3" fillId="0" borderId="1" xfId="3" applyFont="1" applyBorder="1" applyProtection="1">
      <protection locked="0"/>
    </xf>
    <xf numFmtId="3" fontId="21" fillId="0" borderId="1" xfId="0" applyNumberFormat="1" applyFont="1" applyBorder="1" applyAlignment="1" applyProtection="1">
      <alignment vertical="center" wrapText="1"/>
    </xf>
    <xf numFmtId="0" fontId="3" fillId="0" borderId="1" xfId="0" applyFont="1" applyBorder="1" applyAlignment="1">
      <alignment vertical="center" wrapText="1"/>
    </xf>
    <xf numFmtId="0" fontId="54" fillId="39" borderId="33" xfId="3" applyFont="1" applyFill="1" applyBorder="1" applyAlignment="1" applyProtection="1">
      <alignment horizontal="center" vertical="center" wrapText="1"/>
      <protection locked="0"/>
    </xf>
    <xf numFmtId="3" fontId="54" fillId="39" borderId="33" xfId="3" applyNumberFormat="1" applyFont="1" applyFill="1" applyBorder="1" applyAlignment="1" applyProtection="1">
      <alignment horizontal="center"/>
      <protection locked="0"/>
    </xf>
    <xf numFmtId="0" fontId="21" fillId="39" borderId="15" xfId="3" applyFont="1" applyFill="1" applyBorder="1" applyAlignment="1" applyProtection="1">
      <alignment horizontal="center"/>
      <protection locked="0"/>
    </xf>
    <xf numFmtId="3" fontId="14" fillId="5" borderId="4" xfId="0" applyNumberFormat="1" applyFont="1" applyFill="1" applyBorder="1" applyAlignment="1" applyProtection="1">
      <alignment horizontal="center" wrapText="1"/>
      <protection locked="0"/>
    </xf>
    <xf numFmtId="3" fontId="21" fillId="39" borderId="35" xfId="3" applyNumberFormat="1" applyFont="1" applyFill="1" applyBorder="1" applyAlignment="1" applyProtection="1">
      <alignment horizontal="center"/>
      <protection locked="0"/>
    </xf>
    <xf numFmtId="0" fontId="6" fillId="0" borderId="4" xfId="3" applyBorder="1" applyProtection="1">
      <protection locked="0"/>
    </xf>
    <xf numFmtId="0" fontId="21" fillId="6" borderId="56" xfId="3" applyFont="1" applyFill="1" applyBorder="1" applyAlignment="1" applyProtection="1">
      <alignment horizontal="center" vertical="center"/>
      <protection locked="0"/>
    </xf>
    <xf numFmtId="0" fontId="21" fillId="6" borderId="39" xfId="3" applyFont="1" applyFill="1" applyBorder="1" applyAlignment="1" applyProtection="1">
      <alignment horizontal="center" vertical="center" wrapText="1"/>
      <protection locked="0"/>
    </xf>
    <xf numFmtId="0" fontId="21" fillId="6" borderId="13" xfId="3" applyFont="1" applyFill="1" applyBorder="1" applyAlignment="1" applyProtection="1">
      <alignment horizontal="center" vertical="center" wrapText="1"/>
      <protection locked="0"/>
    </xf>
    <xf numFmtId="0" fontId="21" fillId="6" borderId="33" xfId="3" applyFont="1" applyFill="1" applyBorder="1" applyAlignment="1" applyProtection="1">
      <alignment horizontal="center" vertical="center" wrapText="1"/>
      <protection locked="0"/>
    </xf>
    <xf numFmtId="0" fontId="21" fillId="6" borderId="33" xfId="3" applyFont="1" applyFill="1" applyBorder="1" applyAlignment="1" applyProtection="1">
      <alignment horizontal="center" vertical="center"/>
      <protection locked="0"/>
    </xf>
    <xf numFmtId="0" fontId="22" fillId="37" borderId="4" xfId="0" applyFont="1" applyFill="1" applyBorder="1" applyAlignment="1" applyProtection="1">
      <alignment horizontal="left" vertical="center" wrapText="1"/>
      <protection locked="0"/>
    </xf>
    <xf numFmtId="3" fontId="22" fillId="37" borderId="4" xfId="0" applyNumberFormat="1" applyFont="1" applyFill="1" applyBorder="1" applyAlignment="1" applyProtection="1">
      <alignment horizontal="right" vertical="center" wrapText="1"/>
      <protection locked="0"/>
    </xf>
    <xf numFmtId="0" fontId="22" fillId="37" borderId="34" xfId="0" applyFont="1" applyFill="1" applyBorder="1" applyAlignment="1" applyProtection="1">
      <alignment horizontal="left" vertical="center" wrapText="1"/>
      <protection locked="0"/>
    </xf>
    <xf numFmtId="0" fontId="22" fillId="37" borderId="37" xfId="0" applyFont="1" applyFill="1" applyBorder="1" applyAlignment="1" applyProtection="1">
      <alignment horizontal="left" vertical="center" wrapText="1"/>
      <protection locked="0"/>
    </xf>
    <xf numFmtId="0" fontId="22" fillId="37" borderId="26" xfId="0" applyFont="1" applyFill="1" applyBorder="1" applyAlignment="1" applyProtection="1">
      <alignment horizontal="left" vertical="center" wrapText="1"/>
      <protection locked="0"/>
    </xf>
    <xf numFmtId="0" fontId="22" fillId="37" borderId="15" xfId="0" applyFont="1" applyFill="1" applyBorder="1" applyAlignment="1" applyProtection="1">
      <alignment horizontal="left" vertical="center" wrapText="1"/>
      <protection locked="0"/>
    </xf>
    <xf numFmtId="0" fontId="14" fillId="43" borderId="1" xfId="0" applyFont="1" applyFill="1" applyBorder="1" applyAlignment="1">
      <alignment vertical="center" wrapText="1"/>
    </xf>
    <xf numFmtId="0" fontId="21" fillId="43" borderId="1" xfId="0" applyFont="1" applyFill="1" applyBorder="1" applyAlignment="1" applyProtection="1">
      <alignment horizontal="left" vertical="center" wrapText="1"/>
      <protection locked="0"/>
    </xf>
    <xf numFmtId="3" fontId="21" fillId="43" borderId="1" xfId="0" applyNumberFormat="1" applyFont="1" applyFill="1" applyBorder="1" applyAlignment="1" applyProtection="1">
      <alignment horizontal="right" vertical="center" wrapText="1"/>
      <protection locked="0"/>
    </xf>
    <xf numFmtId="3" fontId="21" fillId="43" borderId="1" xfId="3" applyNumberFormat="1" applyFont="1" applyFill="1" applyBorder="1" applyAlignment="1" applyProtection="1">
      <alignment horizontal="right" vertical="center" wrapText="1"/>
    </xf>
    <xf numFmtId="0" fontId="21" fillId="43" borderId="1" xfId="3" applyFont="1" applyFill="1" applyBorder="1" applyAlignment="1" applyProtection="1">
      <alignment horizontal="left" vertical="center" wrapText="1"/>
      <protection locked="0"/>
    </xf>
    <xf numFmtId="0" fontId="21" fillId="42" borderId="0" xfId="3" applyFont="1" applyFill="1" applyProtection="1">
      <protection locked="0"/>
    </xf>
    <xf numFmtId="0" fontId="22" fillId="42" borderId="0" xfId="3" applyFont="1" applyFill="1" applyProtection="1">
      <protection locked="0"/>
    </xf>
    <xf numFmtId="3" fontId="6" fillId="0" borderId="1" xfId="3" applyNumberFormat="1" applyBorder="1" applyProtection="1">
      <protection locked="0"/>
    </xf>
    <xf numFmtId="0" fontId="5" fillId="0" borderId="50" xfId="4" applyBorder="1" applyAlignment="1" applyProtection="1">
      <alignment horizontal="left" vertical="top" wrapText="1"/>
    </xf>
    <xf numFmtId="0" fontId="18" fillId="0" borderId="60" xfId="2" applyFont="1" applyBorder="1" applyAlignment="1" applyProtection="1"/>
    <xf numFmtId="6" fontId="22" fillId="0" borderId="0" xfId="3" applyNumberFormat="1" applyFont="1" applyProtection="1">
      <protection locked="0"/>
    </xf>
    <xf numFmtId="6" fontId="13" fillId="2" borderId="1" xfId="0" applyNumberFormat="1" applyFont="1" applyFill="1" applyBorder="1" applyAlignment="1">
      <alignment horizontal="right" vertical="center" wrapText="1"/>
    </xf>
    <xf numFmtId="0" fontId="20" fillId="2" borderId="0" xfId="0" applyFont="1" applyFill="1" applyAlignment="1">
      <alignment wrapText="1"/>
    </xf>
    <xf numFmtId="0" fontId="14" fillId="0" borderId="0" xfId="0" applyFont="1" applyAlignment="1">
      <alignment wrapText="1"/>
    </xf>
    <xf numFmtId="6" fontId="14" fillId="0" borderId="0" xfId="0" applyNumberFormat="1" applyFont="1" applyAlignment="1">
      <alignment wrapText="1"/>
    </xf>
    <xf numFmtId="168" fontId="0" fillId="0" borderId="0" xfId="0" applyNumberFormat="1" applyFont="1" applyAlignment="1">
      <alignment wrapText="1"/>
    </xf>
    <xf numFmtId="6" fontId="0" fillId="0" borderId="0" xfId="0" applyNumberFormat="1" applyFont="1" applyAlignment="1">
      <alignment wrapText="1"/>
    </xf>
    <xf numFmtId="167" fontId="18" fillId="0" borderId="1" xfId="2" applyNumberFormat="1" applyFont="1" applyFill="1" applyBorder="1" applyAlignment="1">
      <alignment horizontal="right" vertical="center" wrapText="1"/>
    </xf>
    <xf numFmtId="0" fontId="18" fillId="0" borderId="1" xfId="2" applyFont="1" applyBorder="1" applyAlignment="1" applyProtection="1"/>
    <xf numFmtId="0" fontId="0" fillId="0" borderId="0" xfId="0" applyBorder="1"/>
    <xf numFmtId="0" fontId="19" fillId="0" borderId="1" xfId="0" applyFont="1" applyBorder="1" applyAlignment="1">
      <alignment wrapText="1"/>
    </xf>
    <xf numFmtId="0" fontId="19" fillId="0" borderId="1" xfId="0" applyFont="1" applyBorder="1" applyAlignment="1">
      <alignment horizontal="center" wrapText="1"/>
    </xf>
    <xf numFmtId="3" fontId="21" fillId="0" borderId="1" xfId="3" applyNumberFormat="1" applyFont="1" applyFill="1" applyBorder="1" applyAlignment="1" applyProtection="1">
      <alignment horizontal="right" wrapText="1"/>
      <protection locked="0"/>
    </xf>
    <xf numFmtId="3" fontId="5" fillId="0" borderId="71" xfId="4" applyNumberFormat="1" applyBorder="1" applyProtection="1">
      <protection locked="0"/>
    </xf>
    <xf numFmtId="3" fontId="5" fillId="0" borderId="0" xfId="4" applyNumberFormat="1" applyBorder="1" applyProtection="1">
      <protection locked="0"/>
    </xf>
    <xf numFmtId="3" fontId="5" fillId="44" borderId="72" xfId="4" applyNumberFormat="1" applyFill="1" applyBorder="1" applyProtection="1">
      <protection locked="0"/>
    </xf>
    <xf numFmtId="3" fontId="5" fillId="44" borderId="73" xfId="4" applyNumberFormat="1" applyFill="1" applyBorder="1" applyProtection="1">
      <protection locked="0"/>
    </xf>
    <xf numFmtId="3" fontId="5" fillId="44" borderId="74" xfId="4" applyNumberFormat="1" applyFill="1" applyBorder="1" applyProtection="1">
      <protection locked="0"/>
    </xf>
    <xf numFmtId="3" fontId="5" fillId="0" borderId="75" xfId="4" applyNumberFormat="1" applyBorder="1" applyProtection="1">
      <protection locked="0"/>
    </xf>
    <xf numFmtId="3" fontId="5" fillId="44" borderId="76" xfId="4" applyNumberFormat="1" applyFill="1" applyBorder="1" applyProtection="1">
      <protection locked="0"/>
    </xf>
    <xf numFmtId="3" fontId="5" fillId="44" borderId="77" xfId="4" applyNumberFormat="1" applyFill="1" applyBorder="1" applyProtection="1">
      <protection locked="0"/>
    </xf>
    <xf numFmtId="3" fontId="5" fillId="44" borderId="78" xfId="4" applyNumberFormat="1" applyFill="1" applyBorder="1" applyProtection="1">
      <protection locked="0"/>
    </xf>
    <xf numFmtId="3" fontId="5" fillId="44" borderId="79" xfId="4" applyNumberFormat="1" applyFill="1" applyBorder="1" applyProtection="1">
      <protection locked="0"/>
    </xf>
    <xf numFmtId="3" fontId="5" fillId="44" borderId="80" xfId="4" applyNumberFormat="1" applyFill="1" applyBorder="1" applyProtection="1">
      <protection locked="0"/>
    </xf>
    <xf numFmtId="3" fontId="5" fillId="44" borderId="81" xfId="4" applyNumberFormat="1" applyFill="1" applyBorder="1" applyProtection="1">
      <protection locked="0"/>
    </xf>
    <xf numFmtId="3" fontId="5" fillId="44" borderId="82" xfId="4" applyNumberFormat="1" applyFill="1" applyBorder="1" applyProtection="1">
      <protection locked="0"/>
    </xf>
    <xf numFmtId="3" fontId="5" fillId="0" borderId="83" xfId="4" applyNumberFormat="1" applyBorder="1" applyProtection="1">
      <protection locked="0"/>
    </xf>
    <xf numFmtId="3" fontId="5" fillId="44" borderId="84" xfId="4" applyNumberFormat="1" applyFill="1" applyBorder="1" applyProtection="1">
      <protection locked="0"/>
    </xf>
    <xf numFmtId="3" fontId="5" fillId="44" borderId="85" xfId="4" applyNumberFormat="1" applyFill="1" applyBorder="1" applyProtection="1">
      <protection locked="0"/>
    </xf>
    <xf numFmtId="3" fontId="5" fillId="44" borderId="86" xfId="4" applyNumberFormat="1" applyFill="1" applyBorder="1" applyProtection="1">
      <protection locked="0"/>
    </xf>
    <xf numFmtId="3" fontId="5" fillId="0" borderId="0" xfId="4" applyNumberFormat="1" applyFill="1" applyBorder="1" applyProtection="1">
      <protection locked="0"/>
    </xf>
    <xf numFmtId="3" fontId="5" fillId="44" borderId="87" xfId="4" applyNumberFormat="1" applyFill="1" applyBorder="1" applyProtection="1">
      <protection locked="0"/>
    </xf>
    <xf numFmtId="3" fontId="5" fillId="44" borderId="83" xfId="4" applyNumberFormat="1" applyFill="1" applyBorder="1" applyProtection="1">
      <protection locked="0"/>
    </xf>
    <xf numFmtId="3" fontId="5" fillId="44" borderId="88" xfId="4" applyNumberFormat="1" applyFill="1" applyBorder="1" applyProtection="1">
      <protection locked="0"/>
    </xf>
    <xf numFmtId="3" fontId="5" fillId="44" borderId="89" xfId="4" applyNumberFormat="1" applyFill="1" applyBorder="1" applyProtection="1">
      <protection locked="0"/>
    </xf>
    <xf numFmtId="3" fontId="5" fillId="44" borderId="90" xfId="4" applyNumberFormat="1" applyFill="1" applyBorder="1" applyProtection="1">
      <protection locked="0"/>
    </xf>
    <xf numFmtId="3" fontId="5" fillId="0" borderId="91" xfId="4" applyNumberFormat="1" applyBorder="1" applyProtection="1">
      <protection locked="0"/>
    </xf>
    <xf numFmtId="3" fontId="5" fillId="44" borderId="0" xfId="4" applyNumberFormat="1" applyFill="1" applyBorder="1" applyProtection="1">
      <protection locked="0"/>
    </xf>
    <xf numFmtId="3" fontId="5" fillId="44" borderId="92" xfId="4" applyNumberFormat="1" applyFill="1" applyBorder="1" applyProtection="1">
      <protection locked="0"/>
    </xf>
    <xf numFmtId="3" fontId="5" fillId="44" borderId="93" xfId="4" applyNumberFormat="1" applyFill="1" applyBorder="1" applyProtection="1">
      <protection locked="0"/>
    </xf>
    <xf numFmtId="0" fontId="5" fillId="0" borderId="97" xfId="4" applyBorder="1" applyAlignment="1" applyProtection="1">
      <alignment horizontal="left" vertical="top" wrapText="1"/>
    </xf>
    <xf numFmtId="3" fontId="23" fillId="0" borderId="34" xfId="4" applyNumberFormat="1" applyFont="1" applyBorder="1" applyProtection="1"/>
    <xf numFmtId="4" fontId="5" fillId="35" borderId="33" xfId="4" applyNumberFormat="1" applyFill="1" applyBorder="1" applyAlignment="1" applyProtection="1">
      <alignment horizontal="center"/>
      <protection locked="0"/>
    </xf>
    <xf numFmtId="3" fontId="5" fillId="0" borderId="33" xfId="4" applyNumberFormat="1" applyBorder="1" applyProtection="1"/>
    <xf numFmtId="3" fontId="5" fillId="44" borderId="98" xfId="4" applyNumberFormat="1" applyFill="1" applyBorder="1" applyProtection="1">
      <protection locked="0"/>
    </xf>
    <xf numFmtId="3" fontId="5" fillId="44" borderId="91" xfId="4" applyNumberFormat="1" applyFill="1" applyBorder="1" applyProtection="1">
      <protection locked="0"/>
    </xf>
    <xf numFmtId="3" fontId="23" fillId="35" borderId="15" xfId="4" applyNumberFormat="1" applyFont="1" applyFill="1" applyBorder="1" applyProtection="1">
      <protection locked="0"/>
    </xf>
    <xf numFmtId="3" fontId="5" fillId="35" borderId="15" xfId="4" applyNumberFormat="1" applyFill="1" applyBorder="1" applyAlignment="1" applyProtection="1">
      <alignment horizontal="center"/>
      <protection locked="0"/>
    </xf>
    <xf numFmtId="3" fontId="23" fillId="35" borderId="15" xfId="4" applyNumberFormat="1" applyFont="1" applyFill="1" applyBorder="1" applyAlignment="1" applyProtection="1">
      <alignment horizontal="center"/>
      <protection locked="0"/>
    </xf>
    <xf numFmtId="0" fontId="5" fillId="0" borderId="33" xfId="4" applyBorder="1" applyAlignment="1" applyProtection="1">
      <alignment horizontal="left" wrapText="1"/>
    </xf>
    <xf numFmtId="3" fontId="23" fillId="0" borderId="33" xfId="4" applyNumberFormat="1" applyFont="1" applyBorder="1" applyProtection="1"/>
    <xf numFmtId="3" fontId="5" fillId="0" borderId="33" xfId="4" applyNumberFormat="1" applyBorder="1" applyProtection="1">
      <protection locked="0"/>
    </xf>
    <xf numFmtId="0" fontId="5" fillId="0" borderId="33" xfId="4" applyBorder="1" applyAlignment="1" applyProtection="1">
      <alignment horizontal="left" vertical="center" wrapText="1"/>
    </xf>
    <xf numFmtId="3" fontId="23" fillId="35" borderId="15" xfId="4" applyNumberFormat="1" applyFont="1" applyFill="1" applyBorder="1" applyProtection="1"/>
    <xf numFmtId="3" fontId="5" fillId="40" borderId="94" xfId="4" applyNumberFormat="1" applyFill="1" applyBorder="1" applyProtection="1"/>
    <xf numFmtId="3" fontId="23" fillId="0" borderId="95" xfId="4" applyNumberFormat="1" applyFont="1" applyBorder="1" applyProtection="1"/>
    <xf numFmtId="4" fontId="5" fillId="35" borderId="99" xfId="4" applyNumberFormat="1" applyFill="1" applyBorder="1" applyAlignment="1" applyProtection="1">
      <alignment horizontal="center"/>
      <protection locked="0"/>
    </xf>
    <xf numFmtId="3" fontId="5" fillId="0" borderId="99" xfId="4" applyNumberFormat="1" applyBorder="1" applyProtection="1"/>
    <xf numFmtId="3" fontId="23" fillId="0" borderId="99" xfId="4" applyNumberFormat="1" applyFont="1" applyBorder="1" applyProtection="1"/>
    <xf numFmtId="3" fontId="5" fillId="0" borderId="99" xfId="4" applyNumberFormat="1" applyBorder="1" applyProtection="1">
      <protection locked="0"/>
    </xf>
    <xf numFmtId="3" fontId="5" fillId="35" borderId="99" xfId="4" applyNumberFormat="1" applyFill="1" applyBorder="1" applyAlignment="1" applyProtection="1">
      <alignment horizontal="center"/>
      <protection locked="0"/>
    </xf>
    <xf numFmtId="3" fontId="22" fillId="35" borderId="99" xfId="4" applyNumberFormat="1" applyFont="1" applyFill="1" applyBorder="1" applyAlignment="1" applyProtection="1">
      <alignment horizontal="center" vertical="top" wrapText="1"/>
      <protection locked="0"/>
    </xf>
    <xf numFmtId="3" fontId="5" fillId="35" borderId="33" xfId="4" applyNumberFormat="1" applyFill="1" applyBorder="1" applyAlignment="1" applyProtection="1">
      <alignment horizontal="center"/>
      <protection locked="0"/>
    </xf>
    <xf numFmtId="0" fontId="21" fillId="7" borderId="99" xfId="4" applyFont="1" applyFill="1" applyBorder="1" applyAlignment="1" applyProtection="1">
      <alignment vertical="top" wrapText="1"/>
    </xf>
    <xf numFmtId="0" fontId="21" fillId="0" borderId="99" xfId="3" applyFont="1" applyFill="1" applyBorder="1" applyAlignment="1" applyProtection="1">
      <alignment vertical="center" wrapText="1"/>
      <protection locked="0"/>
    </xf>
    <xf numFmtId="3" fontId="21" fillId="0" borderId="99" xfId="3" applyNumberFormat="1" applyFont="1" applyFill="1" applyBorder="1" applyAlignment="1" applyProtection="1">
      <alignment horizontal="right" wrapText="1"/>
      <protection locked="0"/>
    </xf>
    <xf numFmtId="0" fontId="22" fillId="37" borderId="99" xfId="0" applyFont="1" applyFill="1" applyBorder="1" applyAlignment="1" applyProtection="1">
      <alignment horizontal="left" vertical="center" wrapText="1"/>
      <protection locked="0"/>
    </xf>
    <xf numFmtId="3" fontId="22" fillId="37" borderId="99" xfId="0" applyNumberFormat="1" applyFont="1" applyFill="1" applyBorder="1" applyAlignment="1" applyProtection="1">
      <alignment horizontal="right" vertical="center" wrapText="1"/>
      <protection locked="0"/>
    </xf>
    <xf numFmtId="3" fontId="22" fillId="37" borderId="99" xfId="3" applyNumberFormat="1" applyFont="1" applyFill="1" applyBorder="1" applyAlignment="1" applyProtection="1">
      <alignment horizontal="right" vertical="center" wrapText="1"/>
    </xf>
    <xf numFmtId="0" fontId="22" fillId="0" borderId="99" xfId="3" applyFont="1" applyFill="1" applyBorder="1" applyAlignment="1" applyProtection="1">
      <alignment horizontal="left" vertical="center" wrapText="1"/>
      <protection locked="0"/>
    </xf>
    <xf numFmtId="3" fontId="22" fillId="0" borderId="99" xfId="0" applyNumberFormat="1" applyFont="1" applyFill="1" applyBorder="1" applyAlignment="1" applyProtection="1">
      <alignment horizontal="right" vertical="center" wrapText="1"/>
      <protection locked="0"/>
    </xf>
    <xf numFmtId="3" fontId="22" fillId="0" borderId="99" xfId="3" applyNumberFormat="1" applyFont="1" applyFill="1" applyBorder="1" applyAlignment="1" applyProtection="1">
      <alignment horizontal="right" vertical="center" wrapText="1"/>
    </xf>
    <xf numFmtId="0" fontId="6" fillId="0" borderId="99" xfId="3" applyBorder="1" applyProtection="1">
      <protection locked="0"/>
    </xf>
    <xf numFmtId="3" fontId="5" fillId="44" borderId="100" xfId="4" applyNumberFormat="1" applyFill="1" applyBorder="1" applyProtection="1">
      <protection locked="0"/>
    </xf>
    <xf numFmtId="0" fontId="0" fillId="0" borderId="1" xfId="0" applyFont="1" applyFill="1" applyBorder="1" applyAlignment="1">
      <alignment horizontal="center" vertical="center" wrapText="1"/>
    </xf>
    <xf numFmtId="0" fontId="0" fillId="0" borderId="1" xfId="0" applyFont="1" applyBorder="1" applyAlignment="1">
      <alignment horizontal="center" vertical="center" wrapText="1"/>
    </xf>
    <xf numFmtId="0" fontId="8" fillId="38" borderId="1" xfId="0" applyFont="1" applyFill="1" applyBorder="1" applyAlignment="1">
      <alignment horizontal="center" vertical="center" wrapText="1"/>
    </xf>
    <xf numFmtId="0" fontId="4" fillId="0" borderId="1" xfId="0" applyFont="1" applyFill="1" applyBorder="1" applyAlignment="1">
      <alignment vertical="top" wrapText="1"/>
    </xf>
    <xf numFmtId="0" fontId="8" fillId="0" borderId="1" xfId="0" applyFont="1" applyFill="1" applyBorder="1" applyAlignment="1">
      <alignment horizontal="center" vertical="center" wrapText="1"/>
    </xf>
    <xf numFmtId="0" fontId="8" fillId="2" borderId="1" xfId="0" applyFont="1" applyFill="1" applyBorder="1" applyAlignment="1">
      <alignment wrapText="1"/>
    </xf>
    <xf numFmtId="0" fontId="2" fillId="0" borderId="1" xfId="0" applyFont="1" applyFill="1" applyBorder="1" applyAlignment="1">
      <alignment vertical="top" wrapText="1"/>
    </xf>
    <xf numFmtId="0" fontId="8" fillId="2" borderId="1" xfId="0" applyFont="1" applyFill="1" applyBorder="1" applyAlignment="1">
      <alignment horizontal="center" wrapText="1"/>
    </xf>
    <xf numFmtId="0" fontId="8" fillId="0" borderId="1" xfId="0" applyFont="1" applyBorder="1" applyAlignment="1">
      <alignment horizontal="center" vertical="center" wrapText="1"/>
    </xf>
    <xf numFmtId="166" fontId="19" fillId="0" borderId="1" xfId="0" applyNumberFormat="1" applyFont="1" applyBorder="1" applyAlignment="1">
      <alignment wrapText="1"/>
    </xf>
    <xf numFmtId="6" fontId="51" fillId="2" borderId="1" xfId="0" applyNumberFormat="1" applyFont="1" applyFill="1" applyBorder="1" applyAlignment="1">
      <alignment horizontal="center" vertical="center" wrapText="1"/>
    </xf>
    <xf numFmtId="6" fontId="14" fillId="0" borderId="1" xfId="0" applyNumberFormat="1" applyFont="1" applyBorder="1" applyAlignment="1">
      <alignment wrapText="1"/>
    </xf>
    <xf numFmtId="6" fontId="0" fillId="0" borderId="1" xfId="0" applyNumberFormat="1" applyFont="1" applyBorder="1" applyAlignment="1">
      <alignment wrapText="1"/>
    </xf>
    <xf numFmtId="6" fontId="8" fillId="2" borderId="1" xfId="0" applyNumberFormat="1" applyFont="1" applyFill="1" applyBorder="1" applyAlignment="1">
      <alignment horizontal="center" wrapText="1"/>
    </xf>
    <xf numFmtId="0" fontId="12" fillId="4" borderId="1" xfId="0" applyFont="1" applyFill="1" applyBorder="1" applyAlignment="1">
      <alignment horizontal="center" vertical="center" wrapText="1"/>
    </xf>
    <xf numFmtId="4" fontId="1" fillId="35" borderId="99" xfId="4" applyNumberFormat="1" applyFont="1" applyFill="1" applyBorder="1" applyAlignment="1" applyProtection="1">
      <alignment horizontal="center"/>
      <protection locked="0"/>
    </xf>
    <xf numFmtId="3" fontId="21" fillId="0" borderId="33" xfId="0" applyNumberFormat="1" applyFont="1" applyBorder="1" applyAlignment="1" applyProtection="1">
      <alignment horizontal="center" vertical="center" wrapText="1"/>
    </xf>
    <xf numFmtId="3" fontId="21" fillId="0" borderId="13" xfId="0" applyNumberFormat="1" applyFont="1" applyBorder="1" applyAlignment="1" applyProtection="1">
      <alignment horizontal="center" vertical="center" wrapText="1"/>
    </xf>
    <xf numFmtId="3" fontId="21" fillId="0" borderId="15" xfId="0" applyNumberFormat="1" applyFont="1" applyBorder="1" applyAlignment="1" applyProtection="1">
      <alignment horizontal="center" vertical="center" wrapText="1"/>
    </xf>
    <xf numFmtId="0" fontId="21" fillId="0" borderId="33" xfId="0" applyFont="1" applyBorder="1" applyAlignment="1" applyProtection="1">
      <alignment horizontal="left" vertical="center" wrapText="1"/>
      <protection locked="0"/>
    </xf>
    <xf numFmtId="0" fontId="21" fillId="0" borderId="13" xfId="0" applyFont="1" applyBorder="1" applyAlignment="1" applyProtection="1">
      <alignment horizontal="left" vertical="center" wrapText="1"/>
      <protection locked="0"/>
    </xf>
    <xf numFmtId="0" fontId="21" fillId="0" borderId="15" xfId="0" applyFont="1" applyBorder="1" applyAlignment="1" applyProtection="1">
      <alignment horizontal="left" vertical="center" wrapText="1"/>
      <protection locked="0"/>
    </xf>
    <xf numFmtId="0" fontId="21" fillId="5" borderId="1" xfId="3" applyFont="1" applyFill="1" applyBorder="1" applyAlignment="1" applyProtection="1">
      <alignment horizontal="center" vertical="center"/>
      <protection locked="0"/>
    </xf>
    <xf numFmtId="0" fontId="0" fillId="5" borderId="1" xfId="0" applyFill="1" applyBorder="1" applyAlignment="1" applyProtection="1">
      <alignment horizontal="center" vertical="center"/>
      <protection locked="0"/>
    </xf>
    <xf numFmtId="0" fontId="21" fillId="0" borderId="33" xfId="0" applyFont="1" applyBorder="1" applyAlignment="1" applyProtection="1">
      <alignment vertical="center" wrapText="1"/>
      <protection locked="0"/>
    </xf>
    <xf numFmtId="0" fontId="0" fillId="0" borderId="13" xfId="0" applyBorder="1" applyAlignment="1">
      <alignment vertical="center" wrapText="1"/>
    </xf>
    <xf numFmtId="0" fontId="0" fillId="0" borderId="15" xfId="0" applyBorder="1" applyAlignment="1">
      <alignment vertical="center" wrapText="1"/>
    </xf>
    <xf numFmtId="3" fontId="48" fillId="0" borderId="33" xfId="0" applyNumberFormat="1" applyFont="1" applyBorder="1" applyAlignment="1" applyProtection="1">
      <alignment vertical="center" wrapText="1"/>
    </xf>
    <xf numFmtId="3" fontId="21" fillId="0" borderId="33" xfId="0" applyNumberFormat="1" applyFont="1" applyBorder="1" applyAlignment="1" applyProtection="1">
      <alignment vertical="center" wrapText="1"/>
    </xf>
    <xf numFmtId="3" fontId="21" fillId="0" borderId="13" xfId="0" applyNumberFormat="1" applyFont="1" applyBorder="1" applyAlignment="1" applyProtection="1">
      <alignment vertical="center" wrapText="1"/>
    </xf>
    <xf numFmtId="3" fontId="21" fillId="0" borderId="15" xfId="0" applyNumberFormat="1" applyFont="1" applyBorder="1" applyAlignment="1" applyProtection="1">
      <alignment vertical="center" wrapText="1"/>
    </xf>
    <xf numFmtId="0" fontId="21" fillId="0" borderId="13" xfId="0" applyFont="1" applyBorder="1" applyAlignment="1" applyProtection="1">
      <alignment vertical="center" wrapText="1"/>
      <protection locked="0"/>
    </xf>
    <xf numFmtId="0" fontId="21" fillId="0" borderId="15" xfId="0" applyFont="1" applyBorder="1" applyAlignment="1" applyProtection="1">
      <alignment vertical="center" wrapText="1"/>
      <protection locked="0"/>
    </xf>
    <xf numFmtId="0" fontId="21" fillId="0" borderId="1" xfId="0" applyFont="1" applyBorder="1" applyAlignment="1" applyProtection="1">
      <alignment vertical="center" wrapText="1"/>
      <protection locked="0"/>
    </xf>
    <xf numFmtId="0" fontId="19" fillId="0" borderId="1" xfId="0" applyFont="1" applyBorder="1" applyAlignment="1">
      <alignment vertical="center" wrapText="1"/>
    </xf>
    <xf numFmtId="3" fontId="21" fillId="0" borderId="1" xfId="0" applyNumberFormat="1" applyFont="1" applyBorder="1" applyAlignment="1" applyProtection="1">
      <alignment vertical="center" wrapText="1"/>
    </xf>
    <xf numFmtId="0" fontId="21" fillId="42" borderId="1" xfId="0" applyFont="1" applyFill="1" applyBorder="1" applyAlignment="1" applyProtection="1">
      <alignment wrapText="1"/>
      <protection locked="0"/>
    </xf>
    <xf numFmtId="0" fontId="19" fillId="0" borderId="1" xfId="0" applyFont="1" applyBorder="1" applyAlignment="1">
      <alignment wrapText="1"/>
    </xf>
    <xf numFmtId="0" fontId="54" fillId="39" borderId="33" xfId="3" applyFont="1" applyFill="1" applyBorder="1" applyAlignment="1" applyProtection="1">
      <alignment horizontal="center" wrapText="1"/>
      <protection locked="0"/>
    </xf>
    <xf numFmtId="0" fontId="19" fillId="0" borderId="33" xfId="0" applyFont="1" applyBorder="1" applyAlignment="1">
      <alignment wrapText="1"/>
    </xf>
    <xf numFmtId="0" fontId="21" fillId="39" borderId="57" xfId="3" applyFont="1" applyFill="1" applyBorder="1" applyAlignment="1" applyProtection="1">
      <alignment horizontal="center" wrapText="1"/>
      <protection locked="0"/>
    </xf>
    <xf numFmtId="0" fontId="19" fillId="0" borderId="58" xfId="0" applyFont="1" applyBorder="1" applyAlignment="1">
      <alignment wrapText="1"/>
    </xf>
    <xf numFmtId="0" fontId="19" fillId="0" borderId="59" xfId="0" applyFont="1" applyBorder="1" applyAlignment="1">
      <alignment wrapText="1"/>
    </xf>
    <xf numFmtId="0" fontId="19" fillId="0" borderId="33" xfId="0" applyFont="1" applyBorder="1" applyAlignment="1">
      <alignment vertical="center" wrapText="1"/>
    </xf>
    <xf numFmtId="0" fontId="21" fillId="0" borderId="2" xfId="0" applyFont="1" applyBorder="1" applyAlignment="1" applyProtection="1">
      <alignment vertical="center" wrapText="1"/>
      <protection locked="0"/>
    </xf>
    <xf numFmtId="0" fontId="19" fillId="0" borderId="2" xfId="0" applyFont="1" applyBorder="1" applyAlignment="1">
      <alignment vertical="center" wrapText="1"/>
    </xf>
    <xf numFmtId="3" fontId="21" fillId="0" borderId="51" xfId="0" applyNumberFormat="1" applyFont="1" applyBorder="1" applyAlignment="1" applyProtection="1">
      <alignment vertical="center" wrapText="1"/>
    </xf>
    <xf numFmtId="0" fontId="19" fillId="0" borderId="54" xfId="0" applyFont="1" applyBorder="1" applyAlignment="1">
      <alignment vertical="center" wrapText="1"/>
    </xf>
    <xf numFmtId="0" fontId="19" fillId="0" borderId="55" xfId="0" applyFont="1" applyBorder="1" applyAlignment="1">
      <alignment vertical="center" wrapText="1"/>
    </xf>
    <xf numFmtId="0" fontId="19" fillId="5" borderId="1" xfId="0" applyFont="1" applyFill="1" applyBorder="1" applyAlignment="1" applyProtection="1">
      <alignment horizontal="center" vertical="center"/>
      <protection locked="0"/>
    </xf>
    <xf numFmtId="0" fontId="21" fillId="6" borderId="6" xfId="3" applyFont="1" applyFill="1" applyBorder="1" applyAlignment="1" applyProtection="1">
      <alignment horizontal="center" vertical="center"/>
      <protection locked="0"/>
    </xf>
    <xf numFmtId="0" fontId="19" fillId="0" borderId="8" xfId="0" applyFont="1" applyBorder="1" applyAlignment="1" applyProtection="1">
      <alignment horizontal="center" vertical="center"/>
      <protection locked="0"/>
    </xf>
    <xf numFmtId="0" fontId="21" fillId="6" borderId="9" xfId="3" applyFont="1" applyFill="1" applyBorder="1" applyAlignment="1" applyProtection="1">
      <alignment horizontal="center" vertical="center"/>
      <protection locked="0"/>
    </xf>
    <xf numFmtId="0" fontId="19" fillId="0" borderId="10" xfId="0" applyFont="1" applyBorder="1" applyAlignment="1" applyProtection="1">
      <alignment horizontal="center" vertical="center"/>
      <protection locked="0"/>
    </xf>
    <xf numFmtId="0" fontId="19" fillId="0" borderId="11" xfId="0" applyFont="1" applyBorder="1" applyAlignment="1" applyProtection="1">
      <alignment horizontal="center" vertical="center"/>
      <protection locked="0"/>
    </xf>
    <xf numFmtId="0" fontId="19" fillId="0" borderId="14" xfId="0" applyFont="1" applyBorder="1" applyAlignment="1" applyProtection="1">
      <alignment horizontal="center" vertical="center"/>
      <protection locked="0"/>
    </xf>
    <xf numFmtId="0" fontId="21" fillId="42" borderId="1" xfId="3" applyFont="1" applyFill="1" applyBorder="1" applyAlignment="1" applyProtection="1">
      <alignment horizontal="left" wrapText="1"/>
      <protection locked="0"/>
    </xf>
    <xf numFmtId="0" fontId="19" fillId="0" borderId="1" xfId="0" applyFont="1" applyBorder="1" applyAlignment="1">
      <alignment horizontal="left" wrapText="1"/>
    </xf>
    <xf numFmtId="0" fontId="19" fillId="0" borderId="15" xfId="0" applyFont="1" applyBorder="1" applyAlignment="1">
      <alignment horizontal="left" wrapText="1"/>
    </xf>
    <xf numFmtId="0" fontId="19" fillId="0" borderId="1" xfId="0" applyFont="1" applyBorder="1" applyAlignment="1">
      <alignment vertical="center"/>
    </xf>
    <xf numFmtId="3" fontId="48" fillId="0" borderId="2" xfId="0" applyNumberFormat="1" applyFont="1" applyBorder="1" applyAlignment="1" applyProtection="1">
      <alignment vertical="center" wrapText="1"/>
    </xf>
    <xf numFmtId="3" fontId="48" fillId="0" borderId="1" xfId="0" applyNumberFormat="1" applyFont="1" applyBorder="1" applyAlignment="1" applyProtection="1">
      <alignment vertical="center" wrapText="1"/>
    </xf>
    <xf numFmtId="0" fontId="0" fillId="0" borderId="1" xfId="0" applyBorder="1" applyAlignment="1">
      <alignment vertical="center" wrapText="1"/>
    </xf>
    <xf numFmtId="0" fontId="14" fillId="0" borderId="1" xfId="0" applyFont="1" applyBorder="1" applyAlignment="1">
      <alignment vertical="center" wrapText="1"/>
    </xf>
    <xf numFmtId="0" fontId="21" fillId="6" borderId="1" xfId="3" applyFont="1" applyFill="1" applyBorder="1" applyAlignment="1" applyProtection="1">
      <alignment horizontal="center" vertical="center"/>
      <protection locked="0"/>
    </xf>
    <xf numFmtId="0" fontId="0" fillId="0" borderId="1" xfId="0" applyBorder="1" applyAlignment="1" applyProtection="1">
      <alignment horizontal="center" vertical="center"/>
      <protection locked="0"/>
    </xf>
    <xf numFmtId="0" fontId="23" fillId="0" borderId="1" xfId="0" applyFont="1" applyBorder="1" applyAlignment="1">
      <alignment vertical="center" wrapText="1"/>
    </xf>
    <xf numFmtId="0" fontId="3" fillId="0" borderId="1" xfId="0" applyFont="1" applyBorder="1" applyAlignment="1">
      <alignment vertical="center" wrapText="1"/>
    </xf>
    <xf numFmtId="0" fontId="3" fillId="5" borderId="1" xfId="0" applyFont="1" applyFill="1" applyBorder="1" applyAlignment="1" applyProtection="1">
      <alignment horizontal="center" vertical="center"/>
      <protection locked="0"/>
    </xf>
    <xf numFmtId="0" fontId="21" fillId="5" borderId="1" xfId="3" applyFont="1" applyFill="1" applyBorder="1" applyAlignment="1" applyProtection="1">
      <alignment horizontal="center" wrapText="1"/>
      <protection locked="0"/>
    </xf>
    <xf numFmtId="0" fontId="19" fillId="0" borderId="1" xfId="0" applyFont="1" applyBorder="1" applyAlignment="1">
      <alignment horizontal="center" wrapText="1"/>
    </xf>
    <xf numFmtId="0" fontId="21" fillId="41" borderId="1" xfId="0" applyFont="1" applyFill="1" applyBorder="1" applyAlignment="1" applyProtection="1">
      <alignment vertical="center" wrapText="1"/>
      <protection locked="0"/>
    </xf>
    <xf numFmtId="0" fontId="21" fillId="42" borderId="1" xfId="0" applyFont="1" applyFill="1" applyBorder="1" applyAlignment="1" applyProtection="1">
      <alignment vertical="center" wrapText="1"/>
      <protection locked="0"/>
    </xf>
    <xf numFmtId="0" fontId="21" fillId="39" borderId="1" xfId="3" applyFont="1" applyFill="1" applyBorder="1" applyAlignment="1" applyProtection="1">
      <alignment horizontal="center" vertical="center" wrapText="1"/>
      <protection locked="0"/>
    </xf>
    <xf numFmtId="0" fontId="21" fillId="5" borderId="1" xfId="3" applyFont="1" applyFill="1" applyBorder="1" applyAlignment="1" applyProtection="1">
      <alignment horizontal="center" vertical="center" wrapText="1"/>
      <protection locked="0"/>
    </xf>
    <xf numFmtId="0" fontId="0" fillId="0" borderId="1" xfId="0" applyBorder="1" applyAlignment="1">
      <alignment horizontal="center" vertical="center" wrapText="1"/>
    </xf>
    <xf numFmtId="0" fontId="0" fillId="0" borderId="1" xfId="0" applyBorder="1" applyAlignment="1">
      <alignment horizontal="center" wrapText="1"/>
    </xf>
    <xf numFmtId="0" fontId="21" fillId="0" borderId="1" xfId="3" applyFont="1" applyFill="1" applyBorder="1" applyAlignment="1" applyProtection="1">
      <alignment horizontal="left" vertical="center" wrapText="1"/>
      <protection locked="0"/>
    </xf>
    <xf numFmtId="3" fontId="21" fillId="0" borderId="1" xfId="3" applyNumberFormat="1" applyFont="1" applyFill="1" applyBorder="1" applyAlignment="1" applyProtection="1">
      <alignment horizontal="right" wrapText="1"/>
      <protection locked="0"/>
    </xf>
    <xf numFmtId="0" fontId="0" fillId="0" borderId="1" xfId="0" applyBorder="1" applyAlignment="1" applyProtection="1">
      <alignment horizontal="right" wrapText="1"/>
      <protection locked="0"/>
    </xf>
    <xf numFmtId="0" fontId="21" fillId="5" borderId="6" xfId="3" applyFont="1" applyFill="1" applyBorder="1" applyAlignment="1" applyProtection="1">
      <alignment horizontal="center" wrapText="1"/>
      <protection locked="0"/>
    </xf>
    <xf numFmtId="0" fontId="19" fillId="0" borderId="7" xfId="0" applyFont="1" applyBorder="1" applyAlignment="1">
      <alignment horizontal="center" wrapText="1"/>
    </xf>
    <xf numFmtId="0" fontId="19" fillId="0" borderId="8" xfId="0" applyFont="1" applyBorder="1" applyAlignment="1">
      <alignment horizontal="center" wrapText="1"/>
    </xf>
    <xf numFmtId="0" fontId="19" fillId="0" borderId="11" xfId="0" applyFont="1" applyBorder="1" applyAlignment="1">
      <alignment horizontal="center" wrapText="1"/>
    </xf>
    <xf numFmtId="0" fontId="19" fillId="0" borderId="12" xfId="0" applyFont="1" applyBorder="1" applyAlignment="1">
      <alignment horizontal="center" wrapText="1"/>
    </xf>
    <xf numFmtId="0" fontId="19" fillId="0" borderId="14" xfId="0" applyFont="1" applyBorder="1" applyAlignment="1">
      <alignment horizontal="center" wrapText="1"/>
    </xf>
    <xf numFmtId="0" fontId="3" fillId="0" borderId="1" xfId="0" applyFont="1" applyBorder="1" applyAlignment="1" applyProtection="1">
      <alignment horizontal="center" vertical="center"/>
      <protection locked="0"/>
    </xf>
    <xf numFmtId="0" fontId="21" fillId="39" borderId="1" xfId="3" applyFont="1" applyFill="1" applyBorder="1" applyAlignment="1" applyProtection="1">
      <alignment horizontal="center" wrapText="1"/>
      <protection locked="0"/>
    </xf>
    <xf numFmtId="3" fontId="23" fillId="35" borderId="71" xfId="4" applyNumberFormat="1" applyFont="1" applyFill="1" applyBorder="1" applyAlignment="1" applyProtection="1">
      <alignment horizontal="center" vertical="center"/>
      <protection locked="0"/>
    </xf>
    <xf numFmtId="0" fontId="14" fillId="35" borderId="0" xfId="0" applyFont="1" applyFill="1" applyBorder="1" applyAlignment="1">
      <alignment horizontal="center" vertical="center"/>
    </xf>
    <xf numFmtId="0" fontId="14" fillId="35" borderId="75" xfId="0" applyFont="1" applyFill="1" applyBorder="1" applyAlignment="1">
      <alignment horizontal="center" vertical="center"/>
    </xf>
    <xf numFmtId="0" fontId="0" fillId="35" borderId="70" xfId="0" applyFill="1" applyBorder="1" applyAlignment="1">
      <alignment vertical="center"/>
    </xf>
    <xf numFmtId="0" fontId="0" fillId="35" borderId="25" xfId="0" applyFill="1" applyBorder="1" applyAlignment="1">
      <alignment vertical="center"/>
    </xf>
    <xf numFmtId="0" fontId="0" fillId="35" borderId="29" xfId="0" applyFill="1" applyBorder="1" applyAlignment="1">
      <alignment vertical="center"/>
    </xf>
    <xf numFmtId="3" fontId="5" fillId="40" borderId="66" xfId="4" applyNumberFormat="1" applyFill="1" applyBorder="1" applyAlignment="1" applyProtection="1">
      <protection locked="0"/>
    </xf>
    <xf numFmtId="0" fontId="0" fillId="40" borderId="67" xfId="0" applyFill="1" applyBorder="1" applyAlignment="1"/>
    <xf numFmtId="0" fontId="0" fillId="40" borderId="27" xfId="0" applyFill="1" applyBorder="1" applyAlignment="1"/>
    <xf numFmtId="0" fontId="14" fillId="34" borderId="96" xfId="4" applyFont="1" applyFill="1" applyBorder="1" applyAlignment="1" applyProtection="1">
      <alignment horizontal="center" vertical="center" wrapText="1"/>
      <protection locked="0"/>
    </xf>
    <xf numFmtId="0" fontId="14" fillId="34" borderId="0" xfId="4" applyFont="1" applyFill="1" applyBorder="1" applyAlignment="1" applyProtection="1">
      <alignment horizontal="center" vertical="center" wrapText="1"/>
      <protection locked="0"/>
    </xf>
    <xf numFmtId="0" fontId="0" fillId="0" borderId="0" xfId="0" applyAlignment="1">
      <alignment wrapText="1"/>
    </xf>
    <xf numFmtId="0" fontId="5" fillId="36" borderId="66" xfId="4" applyFill="1" applyBorder="1" applyAlignment="1" applyProtection="1">
      <alignment horizontal="left"/>
      <protection locked="0"/>
    </xf>
    <xf numFmtId="0" fontId="0" fillId="0" borderId="67" xfId="0" applyBorder="1" applyAlignment="1"/>
    <xf numFmtId="0" fontId="0" fillId="0" borderId="27" xfId="0" applyBorder="1" applyAlignment="1"/>
    <xf numFmtId="0" fontId="0" fillId="0" borderId="67" xfId="0" applyBorder="1" applyAlignment="1" applyProtection="1">
      <protection locked="0"/>
    </xf>
    <xf numFmtId="3" fontId="23" fillId="9" borderId="56" xfId="4" applyNumberFormat="1" applyFont="1" applyFill="1" applyBorder="1" applyAlignment="1" applyProtection="1">
      <alignment horizontal="center" vertical="center"/>
      <protection locked="0"/>
    </xf>
    <xf numFmtId="0" fontId="14" fillId="9" borderId="28" xfId="0" applyFont="1" applyFill="1" applyBorder="1" applyAlignment="1">
      <alignment horizontal="center" vertical="center"/>
    </xf>
    <xf numFmtId="3" fontId="23" fillId="9" borderId="66" xfId="4" applyNumberFormat="1" applyFont="1" applyFill="1" applyBorder="1" applyAlignment="1" applyProtection="1">
      <alignment horizontal="center"/>
      <protection locked="0"/>
    </xf>
    <xf numFmtId="0" fontId="14" fillId="9" borderId="67" xfId="0" applyFont="1" applyFill="1" applyBorder="1" applyAlignment="1">
      <alignment horizontal="center"/>
    </xf>
    <xf numFmtId="0" fontId="14" fillId="9" borderId="27" xfId="0" applyFont="1" applyFill="1" applyBorder="1" applyAlignment="1">
      <alignment horizontal="center"/>
    </xf>
    <xf numFmtId="3" fontId="23" fillId="35" borderId="68" xfId="4" applyNumberFormat="1" applyFont="1" applyFill="1" applyBorder="1" applyAlignment="1" applyProtection="1">
      <alignment horizontal="center" vertical="center"/>
      <protection locked="0"/>
    </xf>
    <xf numFmtId="0" fontId="14" fillId="35" borderId="30" xfId="0" applyFont="1" applyFill="1" applyBorder="1" applyAlignment="1">
      <alignment horizontal="center" vertical="center"/>
    </xf>
    <xf numFmtId="0" fontId="14" fillId="35" borderId="69" xfId="0" applyFont="1" applyFill="1" applyBorder="1" applyAlignment="1">
      <alignment horizontal="center" vertical="center"/>
    </xf>
    <xf numFmtId="0" fontId="21" fillId="6" borderId="13" xfId="4" applyFont="1" applyFill="1" applyBorder="1" applyAlignment="1" applyProtection="1">
      <alignment horizontal="left" vertical="center" wrapText="1"/>
      <protection locked="0"/>
    </xf>
    <xf numFmtId="0" fontId="5" fillId="0" borderId="15" xfId="4" applyBorder="1" applyAlignment="1" applyProtection="1">
      <alignment horizontal="left" vertical="center" wrapText="1"/>
      <protection locked="0"/>
    </xf>
    <xf numFmtId="0" fontId="21" fillId="6" borderId="52" xfId="4" applyFont="1" applyFill="1" applyBorder="1" applyAlignment="1" applyProtection="1">
      <alignment horizontal="left" vertical="center" wrapText="1"/>
      <protection locked="0"/>
    </xf>
    <xf numFmtId="0" fontId="5" fillId="0" borderId="53" xfId="4" applyBorder="1" applyAlignment="1" applyProtection="1">
      <alignment horizontal="left" vertical="center" wrapText="1"/>
      <protection locked="0"/>
    </xf>
    <xf numFmtId="0" fontId="21" fillId="6" borderId="15" xfId="4" applyFont="1" applyFill="1" applyBorder="1" applyAlignment="1" applyProtection="1">
      <alignment horizontal="left" vertical="center"/>
    </xf>
    <xf numFmtId="0" fontId="5" fillId="0" borderId="1" xfId="4" applyBorder="1" applyAlignment="1" applyProtection="1">
      <alignment horizontal="left" vertical="center"/>
    </xf>
    <xf numFmtId="0" fontId="21" fillId="6" borderId="13" xfId="4" applyFont="1" applyFill="1" applyBorder="1" applyAlignment="1" applyProtection="1">
      <alignment horizontal="center" vertical="center" wrapText="1"/>
      <protection locked="0"/>
    </xf>
    <xf numFmtId="0" fontId="21" fillId="6" borderId="15" xfId="4" applyFont="1" applyFill="1" applyBorder="1" applyAlignment="1" applyProtection="1">
      <alignment horizontal="center" vertical="center" wrapText="1"/>
      <protection locked="0"/>
    </xf>
    <xf numFmtId="3" fontId="23" fillId="9" borderId="65" xfId="4" applyNumberFormat="1" applyFont="1" applyFill="1" applyBorder="1" applyAlignment="1" applyProtection="1">
      <alignment horizontal="center" vertical="center"/>
      <protection locked="0"/>
    </xf>
    <xf numFmtId="0" fontId="20" fillId="2" borderId="0" xfId="0" applyFont="1" applyFill="1" applyAlignment="1">
      <alignment wrapText="1"/>
    </xf>
    <xf numFmtId="0" fontId="20" fillId="2" borderId="42" xfId="0" applyFont="1" applyFill="1" applyBorder="1" applyAlignment="1">
      <alignment wrapText="1"/>
    </xf>
    <xf numFmtId="0" fontId="0" fillId="0" borderId="42" xfId="0" applyBorder="1" applyAlignment="1">
      <alignment wrapText="1"/>
    </xf>
    <xf numFmtId="0" fontId="24" fillId="4" borderId="1" xfId="0" applyFont="1" applyFill="1" applyBorder="1" applyAlignment="1">
      <alignment horizontal="left" vertical="center" wrapText="1"/>
    </xf>
    <xf numFmtId="0" fontId="49" fillId="5" borderId="1" xfId="3" applyFont="1" applyFill="1" applyBorder="1" applyAlignment="1">
      <alignment horizontal="center" wrapText="1"/>
    </xf>
    <xf numFmtId="0" fontId="50" fillId="0" borderId="1" xfId="0" applyFont="1" applyBorder="1" applyAlignment="1"/>
    <xf numFmtId="0" fontId="11" fillId="0" borderId="1" xfId="1" applyFont="1" applyFill="1" applyBorder="1" applyAlignment="1">
      <alignment horizontal="center" vertical="center" wrapText="1"/>
    </xf>
    <xf numFmtId="0" fontId="12" fillId="4" borderId="1" xfId="2" applyFont="1" applyFill="1" applyBorder="1" applyAlignment="1">
      <alignment horizontal="center" vertical="center" wrapText="1"/>
    </xf>
    <xf numFmtId="0" fontId="16" fillId="4" borderId="6" xfId="116" applyFont="1" applyFill="1" applyBorder="1" applyAlignment="1">
      <alignment horizontal="center" vertical="center" wrapText="1"/>
    </xf>
    <xf numFmtId="0" fontId="16" fillId="4" borderId="7" xfId="116" applyFont="1" applyFill="1" applyBorder="1" applyAlignment="1">
      <alignment horizontal="center" vertical="center" wrapText="1"/>
    </xf>
    <xf numFmtId="0" fontId="16" fillId="4" borderId="8" xfId="116" applyFont="1" applyFill="1" applyBorder="1" applyAlignment="1">
      <alignment horizontal="center" vertical="center" wrapText="1"/>
    </xf>
    <xf numFmtId="0" fontId="15" fillId="0" borderId="5" xfId="2" applyFont="1" applyFill="1" applyBorder="1" applyAlignment="1">
      <alignment horizontal="center" vertical="center" wrapText="1"/>
    </xf>
    <xf numFmtId="0" fontId="16" fillId="4" borderId="38" xfId="116" applyFont="1" applyFill="1" applyBorder="1" applyAlignment="1">
      <alignment horizontal="center" vertical="center" wrapText="1"/>
    </xf>
    <xf numFmtId="0" fontId="16" fillId="4" borderId="40" xfId="116" applyFont="1" applyFill="1" applyBorder="1" applyAlignment="1">
      <alignment horizontal="center" vertical="center" wrapText="1"/>
    </xf>
    <xf numFmtId="0" fontId="16" fillId="4" borderId="41" xfId="116" applyFont="1" applyFill="1" applyBorder="1" applyAlignment="1">
      <alignment horizontal="center" vertical="center" wrapText="1"/>
    </xf>
    <xf numFmtId="0" fontId="17" fillId="0" borderId="13" xfId="2" applyFont="1" applyFill="1" applyBorder="1" applyAlignment="1">
      <alignment horizontal="center" vertical="center" wrapText="1"/>
    </xf>
    <xf numFmtId="0" fontId="16" fillId="4" borderId="2" xfId="116" applyFont="1" applyFill="1" applyBorder="1" applyAlignment="1">
      <alignment horizontal="center" vertical="center" wrapText="1"/>
    </xf>
    <xf numFmtId="0" fontId="16" fillId="4" borderId="3" xfId="116" applyFont="1" applyFill="1" applyBorder="1" applyAlignment="1">
      <alignment horizontal="center" vertical="center" wrapText="1"/>
    </xf>
    <xf numFmtId="0" fontId="16" fillId="4" borderId="4" xfId="116" applyFont="1" applyFill="1" applyBorder="1" applyAlignment="1">
      <alignment horizontal="center" vertical="center" wrapText="1"/>
    </xf>
    <xf numFmtId="17" fontId="18" fillId="0" borderId="12" xfId="2" applyNumberFormat="1" applyFont="1" applyFill="1" applyBorder="1" applyAlignment="1">
      <alignment horizontal="center" vertical="center" wrapText="1"/>
    </xf>
    <xf numFmtId="0" fontId="18" fillId="0" borderId="14" xfId="2" applyNumberFormat="1" applyFont="1" applyFill="1" applyBorder="1" applyAlignment="1">
      <alignment horizontal="center" vertical="center" wrapText="1"/>
    </xf>
    <xf numFmtId="0" fontId="43" fillId="0" borderId="25" xfId="4" applyFont="1" applyBorder="1" applyAlignment="1">
      <alignment horizontal="center" wrapText="1"/>
    </xf>
    <xf numFmtId="0" fontId="42" fillId="0" borderId="25" xfId="4" applyFont="1" applyBorder="1" applyAlignment="1">
      <alignment horizontal="center" wrapText="1"/>
    </xf>
    <xf numFmtId="0" fontId="42" fillId="3" borderId="30" xfId="4" applyFont="1" applyFill="1" applyBorder="1" applyAlignment="1">
      <alignment vertical="center" wrapText="1"/>
    </xf>
    <xf numFmtId="0" fontId="43" fillId="0" borderId="0" xfId="4" applyFont="1" applyBorder="1" applyAlignment="1">
      <alignment horizontal="center" wrapText="1"/>
    </xf>
    <xf numFmtId="0" fontId="42" fillId="0" borderId="0" xfId="4" applyFont="1" applyBorder="1" applyAlignment="1">
      <alignment horizontal="center" wrapText="1"/>
    </xf>
    <xf numFmtId="0" fontId="0" fillId="0" borderId="0" xfId="0" applyAlignment="1">
      <alignment horizontal="center" wrapText="1"/>
    </xf>
    <xf numFmtId="0" fontId="43" fillId="40" borderId="25" xfId="4" applyFont="1" applyFill="1" applyBorder="1" applyAlignment="1">
      <alignment horizontal="center" wrapText="1"/>
    </xf>
    <xf numFmtId="0" fontId="42" fillId="40" borderId="25" xfId="4" applyFont="1" applyFill="1" applyBorder="1" applyAlignment="1">
      <alignment horizontal="center" wrapText="1"/>
    </xf>
    <xf numFmtId="3" fontId="22" fillId="0" borderId="0" xfId="3" applyNumberFormat="1" applyFont="1" applyProtection="1">
      <protection locked="0"/>
    </xf>
  </cellXfs>
  <cellStyles count="152">
    <cellStyle name="20% - Accent1 2" xfId="5"/>
    <cellStyle name="20% - Accent1 3" xfId="6"/>
    <cellStyle name="20% - Accent1 4" xfId="7"/>
    <cellStyle name="20% - Accent2 2" xfId="8"/>
    <cellStyle name="20% - Accent2 3" xfId="9"/>
    <cellStyle name="20% - Accent2 4" xfId="10"/>
    <cellStyle name="20% - Accent3 2" xfId="11"/>
    <cellStyle name="20% - Accent3 3" xfId="12"/>
    <cellStyle name="20% - Accent3 4" xfId="13"/>
    <cellStyle name="20% - Accent4 2" xfId="14"/>
    <cellStyle name="20% - Accent4 3" xfId="15"/>
    <cellStyle name="20% - Accent4 4" xfId="16"/>
    <cellStyle name="20% - Accent5 2" xfId="17"/>
    <cellStyle name="20% - Accent5 3" xfId="18"/>
    <cellStyle name="20% - Accent5 4" xfId="19"/>
    <cellStyle name="20% - Accent6 2" xfId="20"/>
    <cellStyle name="20% - Accent6 3" xfId="21"/>
    <cellStyle name="20% - Accent6 4" xfId="22"/>
    <cellStyle name="40% - Accent1 2" xfId="23"/>
    <cellStyle name="40% - Accent1 3" xfId="24"/>
    <cellStyle name="40% - Accent1 4" xfId="25"/>
    <cellStyle name="40% - Accent2 2" xfId="26"/>
    <cellStyle name="40% - Accent2 3" xfId="27"/>
    <cellStyle name="40% - Accent2 4" xfId="28"/>
    <cellStyle name="40% - Accent3 2" xfId="29"/>
    <cellStyle name="40% - Accent3 3" xfId="30"/>
    <cellStyle name="40% - Accent3 4" xfId="31"/>
    <cellStyle name="40% - Accent4 2" xfId="32"/>
    <cellStyle name="40% - Accent4 3" xfId="33"/>
    <cellStyle name="40% - Accent4 4" xfId="34"/>
    <cellStyle name="40% - Accent5 2" xfId="35"/>
    <cellStyle name="40% - Accent5 3" xfId="36"/>
    <cellStyle name="40% - Accent5 4" xfId="37"/>
    <cellStyle name="40% - Accent6 2" xfId="38"/>
    <cellStyle name="40% - Accent6 3" xfId="39"/>
    <cellStyle name="40% - Accent6 4" xfId="40"/>
    <cellStyle name="60% - Accent1 2" xfId="41"/>
    <cellStyle name="60% - Accent1 3" xfId="42"/>
    <cellStyle name="60% - Accent1 4" xfId="43"/>
    <cellStyle name="60% - Accent2 2" xfId="44"/>
    <cellStyle name="60% - Accent2 3" xfId="45"/>
    <cellStyle name="60% - Accent2 4" xfId="46"/>
    <cellStyle name="60% - Accent3 2" xfId="47"/>
    <cellStyle name="60% - Accent3 3" xfId="48"/>
    <cellStyle name="60% - Accent3 4" xfId="49"/>
    <cellStyle name="60% - Accent4 2" xfId="50"/>
    <cellStyle name="60% - Accent4 3" xfId="51"/>
    <cellStyle name="60% - Accent4 4" xfId="52"/>
    <cellStyle name="60% - Accent5 2" xfId="53"/>
    <cellStyle name="60% - Accent5 3" xfId="54"/>
    <cellStyle name="60% - Accent5 4" xfId="55"/>
    <cellStyle name="60% - Accent6 2" xfId="56"/>
    <cellStyle name="60% - Accent6 3" xfId="57"/>
    <cellStyle name="60% - Accent6 4" xfId="58"/>
    <cellStyle name="Accent1 2" xfId="59"/>
    <cellStyle name="Accent1 3" xfId="60"/>
    <cellStyle name="Accent1 4" xfId="61"/>
    <cellStyle name="Accent2 2" xfId="62"/>
    <cellStyle name="Accent2 3" xfId="63"/>
    <cellStyle name="Accent2 4" xfId="64"/>
    <cellStyle name="Accent3 2" xfId="65"/>
    <cellStyle name="Accent3 3" xfId="66"/>
    <cellStyle name="Accent3 4" xfId="67"/>
    <cellStyle name="Accent4 2" xfId="68"/>
    <cellStyle name="Accent4 3" xfId="69"/>
    <cellStyle name="Accent4 4" xfId="70"/>
    <cellStyle name="Accent5 2" xfId="71"/>
    <cellStyle name="Accent5 3" xfId="72"/>
    <cellStyle name="Accent5 4" xfId="73"/>
    <cellStyle name="Accent6 2" xfId="74"/>
    <cellStyle name="Accent6 3" xfId="75"/>
    <cellStyle name="Accent6 4" xfId="76"/>
    <cellStyle name="Bad 2" xfId="77"/>
    <cellStyle name="Bad 3" xfId="78"/>
    <cellStyle name="Bad 4" xfId="79"/>
    <cellStyle name="Calculation 2" xfId="80"/>
    <cellStyle name="Calculation 2 2" xfId="136"/>
    <cellStyle name="Calculation 3" xfId="81"/>
    <cellStyle name="Calculation 3 2" xfId="137"/>
    <cellStyle name="Calculation 4" xfId="82"/>
    <cellStyle name="Calculation 4 2" xfId="138"/>
    <cellStyle name="Check Cell 2" xfId="83"/>
    <cellStyle name="Check Cell 3" xfId="84"/>
    <cellStyle name="Check Cell 4" xfId="85"/>
    <cellStyle name="Explanatory Text 2" xfId="86"/>
    <cellStyle name="Explanatory Text 3" xfId="87"/>
    <cellStyle name="Explanatory Text 4" xfId="88"/>
    <cellStyle name="Good 2" xfId="89"/>
    <cellStyle name="Good 3" xfId="90"/>
    <cellStyle name="Good 4" xfId="91"/>
    <cellStyle name="Heading 1 2" xfId="92"/>
    <cellStyle name="Heading 1 3" xfId="93"/>
    <cellStyle name="Heading 1 4" xfId="94"/>
    <cellStyle name="Heading 2 2" xfId="95"/>
    <cellStyle name="Heading 2 3" xfId="96"/>
    <cellStyle name="Heading 2 4" xfId="97"/>
    <cellStyle name="Heading 3 2" xfId="98"/>
    <cellStyle name="Heading 3 3" xfId="99"/>
    <cellStyle name="Heading 3 4" xfId="100"/>
    <cellStyle name="Heading 4 2" xfId="101"/>
    <cellStyle name="Heading 4 3" xfId="102"/>
    <cellStyle name="Heading 4 4" xfId="103"/>
    <cellStyle name="Input 2" xfId="104"/>
    <cellStyle name="Input 2 2" xfId="139"/>
    <cellStyle name="Input 3" xfId="105"/>
    <cellStyle name="Input 3 2" xfId="140"/>
    <cellStyle name="Input 4" xfId="106"/>
    <cellStyle name="Input 4 2" xfId="141"/>
    <cellStyle name="Linked Cell 2" xfId="107"/>
    <cellStyle name="Linked Cell 3" xfId="108"/>
    <cellStyle name="Linked Cell 4" xfId="109"/>
    <cellStyle name="Neutral 2" xfId="110"/>
    <cellStyle name="Neutral 3" xfId="111"/>
    <cellStyle name="Neutral 4" xfId="112"/>
    <cellStyle name="Normal" xfId="0" builtinId="0"/>
    <cellStyle name="Normal 2" xfId="1"/>
    <cellStyle name="Normal 2 2" xfId="113"/>
    <cellStyle name="Normal 2 3" xfId="114"/>
    <cellStyle name="Normal 2 4" xfId="115"/>
    <cellStyle name="Normal 3" xfId="2"/>
    <cellStyle name="Normal 3 2" xfId="116"/>
    <cellStyle name="Normal 4" xfId="3"/>
    <cellStyle name="Normal 4 2" xfId="134"/>
    <cellStyle name="Normal 5" xfId="4"/>
    <cellStyle name="Normal 5 2" xfId="135"/>
    <cellStyle name="Normal 6" xfId="132"/>
    <cellStyle name="Normal 6 2" xfId="151"/>
    <cellStyle name="Note 2" xfId="117"/>
    <cellStyle name="Note 2 2" xfId="142"/>
    <cellStyle name="Note 3" xfId="118"/>
    <cellStyle name="Note 3 2" xfId="143"/>
    <cellStyle name="Note 4" xfId="119"/>
    <cellStyle name="Note 4 2" xfId="144"/>
    <cellStyle name="Output 2" xfId="120"/>
    <cellStyle name="Output 2 2" xfId="145"/>
    <cellStyle name="Output 3" xfId="121"/>
    <cellStyle name="Output 3 2" xfId="146"/>
    <cellStyle name="Output 4" xfId="122"/>
    <cellStyle name="Output 4 2" xfId="147"/>
    <cellStyle name="TableStyleLight1" xfId="133"/>
    <cellStyle name="Title 2" xfId="123"/>
    <cellStyle name="Title 3" xfId="124"/>
    <cellStyle name="Title 4" xfId="125"/>
    <cellStyle name="Total 2" xfId="126"/>
    <cellStyle name="Total 2 2" xfId="148"/>
    <cellStyle name="Total 3" xfId="127"/>
    <cellStyle name="Total 3 2" xfId="149"/>
    <cellStyle name="Total 4" xfId="128"/>
    <cellStyle name="Total 4 2" xfId="150"/>
    <cellStyle name="Warning Text 2" xfId="129"/>
    <cellStyle name="Warning Text 3" xfId="130"/>
    <cellStyle name="Warning Text 4" xfId="131"/>
  </cellStyles>
  <dxfs count="0"/>
  <tableStyles count="0" defaultTableStyle="TableStyleMedium9" defaultPivotStyle="PivotStyleMedium4"/>
  <colors>
    <mruColors>
      <color rgb="FFCC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18"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20" Type="http://schemas.openxmlformats.org/officeDocument/2006/relationships/customXml" Target="../customXml/item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Familia%20Cracel\Desktop\Desktop%203\Suriname_SU_L1050\Budget\SU-L1050%20Budget18%20may%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idbg.sharepoint.com/teams/EZ-SU-LON/SU-L1050/05%20Basic%20Data/Draft%20Area/SU-L1050%20Budget%2024%20January%20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Detailed Budget POA"/>
      <sheetName val="2. Pluriannual Plan PEP"/>
      <sheetName val="3. Procurement Plan - PA"/>
      <sheetName val="4. Sitetic PA"/>
      <sheetName val="5. Budget by Components"/>
      <sheetName val="Prices"/>
      <sheetName val="6. Budget by Products"/>
    </sheetNames>
    <sheetDataSet>
      <sheetData sheetId="0">
        <row r="7">
          <cell r="B7">
            <v>489430.8</v>
          </cell>
        </row>
        <row r="12">
          <cell r="B12">
            <v>591423.19999999995</v>
          </cell>
        </row>
        <row r="16">
          <cell r="B16">
            <v>167480</v>
          </cell>
        </row>
        <row r="20">
          <cell r="B20">
            <v>510206.4</v>
          </cell>
        </row>
        <row r="24">
          <cell r="B24">
            <v>149897.59999999998</v>
          </cell>
        </row>
        <row r="28">
          <cell r="B28">
            <v>79860</v>
          </cell>
        </row>
        <row r="32">
          <cell r="B32">
            <v>170200.8</v>
          </cell>
        </row>
        <row r="36">
          <cell r="B36">
            <v>75240</v>
          </cell>
        </row>
        <row r="40">
          <cell r="B40">
            <v>135960</v>
          </cell>
        </row>
        <row r="45">
          <cell r="B45">
            <v>272540</v>
          </cell>
        </row>
        <row r="50">
          <cell r="B50">
            <v>3711900</v>
          </cell>
        </row>
        <row r="54">
          <cell r="B54">
            <v>165000</v>
          </cell>
        </row>
        <row r="57">
          <cell r="B57">
            <v>490600</v>
          </cell>
        </row>
        <row r="62">
          <cell r="B62">
            <v>7298660</v>
          </cell>
        </row>
        <row r="70">
          <cell r="B70">
            <v>183980</v>
          </cell>
        </row>
        <row r="74">
          <cell r="B74">
            <v>7738520</v>
          </cell>
        </row>
        <row r="84">
          <cell r="B84">
            <v>348220</v>
          </cell>
        </row>
        <row r="98">
          <cell r="B98">
            <v>597000</v>
          </cell>
        </row>
        <row r="102">
          <cell r="B102">
            <v>396000</v>
          </cell>
        </row>
        <row r="109">
          <cell r="B109">
            <v>1026000</v>
          </cell>
        </row>
        <row r="121">
          <cell r="B121">
            <v>1137520</v>
          </cell>
        </row>
        <row r="134">
          <cell r="B134">
            <v>751760</v>
          </cell>
        </row>
        <row r="143">
          <cell r="B143">
            <v>1364461.6</v>
          </cell>
        </row>
        <row r="149">
          <cell r="B149">
            <v>530000</v>
          </cell>
        </row>
        <row r="158">
          <cell r="B158">
            <v>49500</v>
          </cell>
        </row>
        <row r="167">
          <cell r="B167">
            <v>693000</v>
          </cell>
        </row>
        <row r="172">
          <cell r="B172">
            <v>734000</v>
          </cell>
        </row>
        <row r="181">
          <cell r="B181">
            <v>234960</v>
          </cell>
        </row>
        <row r="190">
          <cell r="B190">
            <v>2508000</v>
          </cell>
        </row>
        <row r="200">
          <cell r="B200">
            <v>228000</v>
          </cell>
        </row>
        <row r="209">
          <cell r="B209">
            <v>1135600</v>
          </cell>
        </row>
        <row r="214">
          <cell r="B214">
            <v>2032667.9999999998</v>
          </cell>
        </row>
      </sheetData>
      <sheetData sheetId="1"/>
      <sheetData sheetId="2"/>
      <sheetData sheetId="3"/>
      <sheetData sheetId="4"/>
      <sheetData sheetId="5"/>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Detailed Budget POA"/>
      <sheetName val="2. Pluriannual Plan PEP"/>
      <sheetName val="3. Procurement Plan - PA"/>
      <sheetName val="4. Sitetic PA"/>
      <sheetName val="5. Budget by Components"/>
      <sheetName val="Prices"/>
      <sheetName val="6. Budget by Products"/>
    </sheetNames>
    <sheetDataSet>
      <sheetData sheetId="0">
        <row r="7">
          <cell r="H7" t="str">
            <v xml:space="preserve">Technical assistance for the development of the following management instruments: 
organizational design based upon functions not tax type; </v>
          </cell>
          <cell r="L7">
            <v>61063.199999999997</v>
          </cell>
          <cell r="M7" t="str">
            <v>Site visit (1 or 2) to an fully developed tax administration with a mature e-Tax model in place (quantity in person days)</v>
          </cell>
        </row>
        <row r="8">
          <cell r="H8" t="str">
            <v>SARA definition, strategic plan and roadmap for the implementation;</v>
          </cell>
          <cell r="L8">
            <v>81417.599999999991</v>
          </cell>
        </row>
        <row r="9">
          <cell r="H9" t="str">
            <v xml:space="preserve">human resources regime for SARA </v>
          </cell>
          <cell r="L9">
            <v>49500</v>
          </cell>
        </row>
        <row r="10">
          <cell r="H10" t="str">
            <v>performance measurement and management regime;</v>
          </cell>
          <cell r="L10">
            <v>49500</v>
          </cell>
        </row>
        <row r="12">
          <cell r="H12" t="str">
            <v xml:space="preserve">Train the taxpayer service staff on service techniques, develop procedure manuals and FAQ support tools, and train staff on the use of the Internet-based service system.  </v>
          </cell>
          <cell r="L12">
            <v>61063.199999999997</v>
          </cell>
          <cell r="M12" t="str">
            <v xml:space="preserve">Help Desk:  undertake civil works and acquire telephone system; contractor to train staff for the help desk (call and counter) for taxpayer queries. </v>
          </cell>
        </row>
        <row r="13">
          <cell r="H13" t="str">
            <v>Procure/Develop and implement an Internet-based system to provide most of the OTA services on-line without requiring the taxpayer to come to the OTA offices using SIGTAS functions were possible.</v>
          </cell>
          <cell r="L13">
            <v>36960</v>
          </cell>
          <cell r="M13" t="str">
            <v>Procure necessary building fit-up changes, furniture and equipment required to support taxpayer self-service outlets in tax offices and any seasonal ones.</v>
          </cell>
        </row>
        <row r="14">
          <cell r="H14" t="str">
            <v>Contract an external company to undertake annual taxpayer surveys to measure taxpayer satisfaction.
(2 months per year over the 5 years)</v>
          </cell>
          <cell r="L14">
            <v>46200</v>
          </cell>
        </row>
        <row r="16">
          <cell r="H16" t="str">
            <v>International consultant:  to assist in the implementation of the new TIN with VAT and gradually applied to Customs and to direct taxes; justification to expand use into other financial areas (eg:  for real estate transactions, financial transactions ...).  Advising on customization of SIGTAS for registration.
This includes developing training programs via a train-the-trainer process</v>
          </cell>
          <cell r="L16">
            <v>99000</v>
          </cell>
        </row>
        <row r="17">
          <cell r="H17" t="str">
            <v>Local consulting technical assistance:   to assist the international consultant in training and TIN design/implementation.</v>
          </cell>
          <cell r="L17">
            <v>18480</v>
          </cell>
        </row>
        <row r="18">
          <cell r="H18" t="str">
            <v>Procure technical assistance from SIGTAS vendor to implement system changes to accommodate inactive taxpayers.</v>
          </cell>
          <cell r="L18">
            <v>50000</v>
          </cell>
        </row>
        <row r="20">
          <cell r="H20" t="str">
            <v>International consultant to provide technical assistance to designed and implemented new tax return (declaration) processing following international best practices
This includes developing training programs via a train-the-trainer process.</v>
          </cell>
          <cell r="L20">
            <v>122126.39999999999</v>
          </cell>
        </row>
        <row r="21">
          <cell r="H21" t="str">
            <v>Local contractors to provide technical assistance to designed and implemented new tax return (declaration) processing following international best practices.</v>
          </cell>
          <cell r="L21">
            <v>18480</v>
          </cell>
        </row>
        <row r="25">
          <cell r="H25" t="str">
            <v>procure international local technical assistance to design an implement new tax payment processing through the banking system following international best practices adapted to the Suriname banking environment and advise on localization of SIGTAS for payment processing.
This includes developing training programs via a train-the-trainer process.</v>
          </cell>
          <cell r="L25">
            <v>81417.599999999991</v>
          </cell>
        </row>
        <row r="26">
          <cell r="H26" t="str">
            <v>acquire local technical assistance to design an implement new tax payment processing through the banking system following international best practices adapted to the Suriname banking environment.</v>
          </cell>
          <cell r="L26">
            <v>18480</v>
          </cell>
        </row>
        <row r="27">
          <cell r="H27" t="str">
            <v>Technical assistance from the SIGTAS vendor to modify their payment module to interface with the e-payments facility</v>
          </cell>
          <cell r="L27">
            <v>50000</v>
          </cell>
        </row>
        <row r="29">
          <cell r="H29" t="str">
            <v>acquire international consultant technical assistance to review existing stop filing and refund processing and design and implement new processes following international best practices; and advise on localization of SIGTAS for stop filing and refund processing.
This includes developing training programs via a train-the-trainer process.</v>
          </cell>
          <cell r="L29">
            <v>66000</v>
          </cell>
        </row>
        <row r="30">
          <cell r="H30" t="str">
            <v>local contracted technical assistance to review existing stop filing and refund processing and design and implement new processes following international best practices.</v>
          </cell>
          <cell r="L30">
            <v>13860</v>
          </cell>
        </row>
        <row r="33">
          <cell r="H33" t="str">
            <v>International technical assistance to review current tax audit procedures and to design and implement new procedures utilizing international best practices adopted for the ATO environment; advising on localization of SIGTAS for audit requirements.  
This includes developing training programs via a train-the-trainer process.</v>
          </cell>
          <cell r="L33">
            <v>142480.79999999999</v>
          </cell>
        </row>
        <row r="34">
          <cell r="H34" t="str">
            <v xml:space="preserve">Local technical assistance for international technical consultant in review current tax audit procedures and to design and implement new procedures utilizing international best practices adopted for the ATO environment.  </v>
          </cell>
          <cell r="L34">
            <v>27720</v>
          </cell>
        </row>
        <row r="37">
          <cell r="H37" t="str">
            <v>International technical assistance to review current arrears collections procedures and to design and implement new procedures utilizing international best practices; advising on localization of SIGTAS for collection requirements.
This includes developing training programs via a train-the-trainer process.</v>
          </cell>
          <cell r="L37">
            <v>66000</v>
          </cell>
        </row>
        <row r="38">
          <cell r="H38" t="str">
            <v xml:space="preserve">Local technical assistance to review current arrears collections procedures and to design and implement new procedures utilizing international best practices. </v>
          </cell>
          <cell r="L38">
            <v>9240</v>
          </cell>
        </row>
        <row r="41">
          <cell r="H41" t="str">
            <v>International consultant assistance to design the tax appeal processes following international best practices; advise on localization of SIGTAS for appeals requirements. This includes developing training programs via a train-the-trainer process.
(3 months first year; follow-up in subsequent 2 years)</v>
          </cell>
          <cell r="L41">
            <v>99000</v>
          </cell>
        </row>
        <row r="42">
          <cell r="H42" t="str">
            <v>local technical assistance to design the tax appeal processes following international best practices.
(4 months first year; follow-up in subsequent 2 years)</v>
          </cell>
          <cell r="L42">
            <v>36960</v>
          </cell>
        </row>
        <row r="45">
          <cell r="M45" t="str">
            <v>OTA membership in the WCO</v>
          </cell>
        </row>
        <row r="46">
          <cell r="H46" t="str">
            <v>Technical assistance to modify ASYCUDA payment module to interface with the e-payments facility</v>
          </cell>
          <cell r="L46">
            <v>50000</v>
          </cell>
        </row>
        <row r="48">
          <cell r="H48" t="str">
            <v>Procure services of a local company to design and execute Customs survey and analysis of results.
(2 months in 1st year; one month of effort for subsequent years or program)</v>
          </cell>
          <cell r="L48">
            <v>27720</v>
          </cell>
        </row>
        <row r="50">
          <cell r="M50" t="str">
            <v>Fixed scanning equipment acquired via RFP process</v>
          </cell>
        </row>
        <row r="51">
          <cell r="H51" t="str">
            <v>Technical support to establish, train, and provide consulting support to a group to undertake the data analytics that result in risk profiles that the AW risk management system employs to identify high risk transactions</v>
          </cell>
          <cell r="L51">
            <v>33000</v>
          </cell>
          <cell r="M51" t="str">
            <v>Mobile scanning equipment acquired via RFP process</v>
          </cell>
        </row>
        <row r="52">
          <cell r="H52" t="str">
            <v>Procure technical assistance to undertake the initial training in the use of the AW risk management system including how to operate it and adjust inputs to it.  Also includes the coding required to expand the automation of information into the AW risk management system from AW modules (e.g.: PCA results and results of examinations).</v>
          </cell>
          <cell r="L52">
            <v>75000</v>
          </cell>
        </row>
        <row r="58">
          <cell r="H58" t="str">
            <v>Procure technical resource to undertake customization of ASYCUDA to accommodate VAT.</v>
          </cell>
          <cell r="L58">
            <v>55000</v>
          </cell>
        </row>
        <row r="62">
          <cell r="M62" t="str">
            <v>New tax administration COTS system that has been selected under OTA procurement process.</v>
          </cell>
        </row>
        <row r="63">
          <cell r="M63" t="str">
            <v>Acquire current technology (network, servers, PC’s, printers, anti-malware and intrusion detection) to support the new IT software and locate it in a Government (or Ministry) primary and disaster recover data centres</v>
          </cell>
        </row>
        <row r="64">
          <cell r="M64" t="str">
            <v xml:space="preserve">Disaster Recovery / business continuity centre for Data Centre to be established to provide adequate resilience for IT systems </v>
          </cell>
        </row>
        <row r="65">
          <cell r="M65" t="str">
            <v>Technical assistance to define and establish electronic linkages with other government departments under MOU’s to allow data exchange (bi-directional) for more timely reporting</v>
          </cell>
        </row>
        <row r="70">
          <cell r="H70" t="str">
            <v>d.  Provide operational support for the ASYCUDA World instance by acquiring resources, through a firm, to provide technical support of the product both on a short term contractual basis and through training of customs IT staff to keep the application operational
(2 consultants for 1 year)</v>
          </cell>
          <cell r="L70">
            <v>110880</v>
          </cell>
        </row>
        <row r="71">
          <cell r="H71" t="str">
            <v>Technical assistance to make the necessary adjustments to ASYCUDA to accommodate the automation of the data extraction or uploading with ASYCUDA</v>
          </cell>
          <cell r="L71">
            <v>50000</v>
          </cell>
        </row>
        <row r="72">
          <cell r="H72" t="str">
            <v>Train customs IT staff in use of the equipment and software they are supporting including certification that is required for AW support. using on-site training sessions</v>
          </cell>
          <cell r="L72">
            <v>23100</v>
          </cell>
        </row>
        <row r="75">
          <cell r="H75" t="str">
            <v>Architectural and Engineering services to develop the specifications for the construction of a new building.  Participate in the evaluation of bids, provide project management of the construction process. 
(Architect amount is 5% of the estimated building costs; project management at 5% of building costs)</v>
          </cell>
          <cell r="L75">
            <v>534300</v>
          </cell>
        </row>
        <row r="76">
          <cell r="M76" t="str">
            <v>Generator and UPS for main customs operations building in the port (to replace current system which has failed).</v>
          </cell>
        </row>
        <row r="77">
          <cell r="M77" t="str">
            <v>Vehicles for tax and customs collections, enforcement and compliance activities procured and deployed.</v>
          </cell>
        </row>
        <row r="78">
          <cell r="H78" t="str">
            <v xml:space="preserve">Review existing processes used for mail processing and identify changes in processing and what mechanical mail processing equipment would be required to uplift the operations.  </v>
          </cell>
          <cell r="L78">
            <v>33000</v>
          </cell>
          <cell r="M78" t="str">
            <v>Procure mail equipment including its installation and training in its use.</v>
          </cell>
        </row>
        <row r="79">
          <cell r="H79" t="str">
            <v>Review the telecommunication needs of the tax and customs teams and acquire the needed equipment identified</v>
          </cell>
          <cell r="L79">
            <v>13860</v>
          </cell>
          <cell r="M79" t="str">
            <v>Communications equipment acquired and deployment.</v>
          </cell>
        </row>
        <row r="84">
          <cell r="H84" t="str">
            <v>Technical assistance to draft and disseminate legal instruments for: (a) the new VAT act, (b) a new Income Tax Act; (c) Customs Act; (d) Gaming Tax Act; (e) Entertainment Tax Act; and (f) Electronic Trade Act (to allow use of electronic transactions including e-signatures and Taxpayer Identification Numbers TIN); plus modifications required to the above acts to accommodate SIGTAS implementation.</v>
          </cell>
          <cell r="L84">
            <v>198000</v>
          </cell>
        </row>
        <row r="85">
          <cell r="H85" t="str">
            <v>Technical assistance for course development and training of trainers within the OTA on the VAT legislation.   + Training</v>
          </cell>
          <cell r="L85">
            <v>82500</v>
          </cell>
          <cell r="M85" t="str">
            <v>Publication services and tools for training delivery</v>
          </cell>
        </row>
        <row r="86">
          <cell r="H86" t="str">
            <v>local legal technical support</v>
          </cell>
          <cell r="L86">
            <v>27720</v>
          </cell>
        </row>
        <row r="98">
          <cell r="M98" t="str">
            <v>E-Learning platform with all technological components</v>
          </cell>
        </row>
        <row r="111">
          <cell r="M111" t="str">
            <v>Technological Infrastructure</v>
          </cell>
        </row>
        <row r="121">
          <cell r="M121" t="str">
            <v>Methodology for forecasting expenditure and revenue</v>
          </cell>
        </row>
        <row r="134">
          <cell r="M134" t="str">
            <v>Equipment (Servers, computer, other equipment)</v>
          </cell>
        </row>
        <row r="135">
          <cell r="M135" t="str">
            <v>Tools for analytical evaluations</v>
          </cell>
        </row>
        <row r="136">
          <cell r="M136" t="str">
            <v>Electronic document management with support equipment</v>
          </cell>
        </row>
        <row r="143">
          <cell r="H143" t="str">
            <v>Certification Program in Public Procurement for public servants</v>
          </cell>
          <cell r="L143">
            <v>122126.39999999999</v>
          </cell>
          <cell r="M143" t="str">
            <v>Electronic Government Procurement (off-the-shelf etendering and supplier register)</v>
          </cell>
        </row>
        <row r="144">
          <cell r="H144" t="str">
            <v>Awareness Campaign</v>
          </cell>
          <cell r="L144">
            <v>162835.19999999998</v>
          </cell>
        </row>
        <row r="150">
          <cell r="M150" t="str">
            <v>Implementation of data mining methodologies and tools.</v>
          </cell>
        </row>
        <row r="172">
          <cell r="M172" t="str">
            <v>Implementation of tools and methodologies for the audit of the main government information systems (financial management, tax and customs administration).</v>
          </cell>
        </row>
        <row r="190">
          <cell r="M190" t="str">
            <v>Establishment of a new ICT Technicians building; physical infrastructure (cables, UPS, etc.);Fat client; equipment for physical security; and (v) performance management software.</v>
          </cell>
        </row>
        <row r="191">
          <cell r="M191" t="str">
            <v>Generator and UPS for ICT technicians building</v>
          </cell>
        </row>
        <row r="192">
          <cell r="M192" t="str">
            <v>Replace PC's and office printers/scanners/switches and routers that have reached end of life or do not meet the requirement for AW or the COTS workstation requirements.</v>
          </cell>
        </row>
        <row r="193">
          <cell r="M193" t="str">
            <v xml:space="preserve">Training of OTA ICT staff in the software and hardware they are supporting in addition to managing and monitoring their systems (including network).  </v>
          </cell>
        </row>
        <row r="209">
          <cell r="M209" t="str">
            <v>Public Investment Management off-the-shelf IT management system, including project database</v>
          </cell>
        </row>
        <row r="219">
          <cell r="H219" t="str">
            <v>Preparation of the pre-investment and feasibility studies</v>
          </cell>
          <cell r="L219">
            <v>1933667.9999999998</v>
          </cell>
        </row>
      </sheetData>
      <sheetData sheetId="1"/>
      <sheetData sheetId="2"/>
      <sheetData sheetId="3"/>
      <sheetData sheetId="4"/>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37"/>
  <sheetViews>
    <sheetView tabSelected="1" zoomScale="70" zoomScaleNormal="70" workbookViewId="0">
      <pane xSplit="2" ySplit="4" topLeftCell="C5" activePane="bottomRight" state="frozen"/>
      <selection pane="topRight" activeCell="C1" sqref="C1"/>
      <selection pane="bottomLeft" activeCell="A4" sqref="A4"/>
      <selection pane="bottomRight" activeCell="B220" sqref="B220"/>
    </sheetView>
  </sheetViews>
  <sheetFormatPr defaultColWidth="9" defaultRowHeight="15" x14ac:dyDescent="0.25"/>
  <cols>
    <col min="1" max="1" width="26.625" style="110" customWidth="1"/>
    <col min="2" max="2" width="12.375" style="72" bestFit="1" customWidth="1"/>
    <col min="3" max="3" width="32.75" style="72" customWidth="1"/>
    <col min="4" max="4" width="7.875" style="72" customWidth="1"/>
    <col min="5" max="5" width="9.625" style="72" customWidth="1"/>
    <col min="6" max="6" width="8" style="72" customWidth="1"/>
    <col min="7" max="7" width="12.25" style="72" bestFit="1" customWidth="1"/>
    <col min="8" max="8" width="30.25" style="72" customWidth="1"/>
    <col min="9" max="9" width="9.625" style="72" customWidth="1"/>
    <col min="10" max="10" width="8.75" style="72" customWidth="1"/>
    <col min="11" max="11" width="8" style="72" customWidth="1"/>
    <col min="12" max="12" width="11.75" style="72" bestFit="1" customWidth="1"/>
    <col min="13" max="13" width="24.625" style="72" customWidth="1"/>
    <col min="14" max="14" width="9.375" style="72" customWidth="1"/>
    <col min="15" max="15" width="8.375" style="72" bestFit="1" customWidth="1"/>
    <col min="16" max="16" width="12.25" style="72" bestFit="1" customWidth="1"/>
    <col min="17" max="17" width="24.125" style="72" customWidth="1"/>
    <col min="18" max="18" width="8" style="72" customWidth="1"/>
    <col min="19" max="19" width="10" style="72" bestFit="1" customWidth="1"/>
    <col min="20" max="20" width="8.5" style="72" bestFit="1" customWidth="1"/>
    <col min="21" max="21" width="24.625" style="72" customWidth="1"/>
    <col min="22" max="22" width="13.5" style="72" customWidth="1"/>
    <col min="23" max="23" width="9.375" style="72" bestFit="1" customWidth="1"/>
    <col min="24" max="24" width="14.75" style="72" bestFit="1" customWidth="1"/>
    <col min="25" max="25" width="10.875" style="69" bestFit="1" customWidth="1"/>
    <col min="26" max="16384" width="9" style="69"/>
  </cols>
  <sheetData>
    <row r="1" spans="1:25" s="117" customFormat="1" ht="42" customHeight="1" thickBot="1" x14ac:dyDescent="0.35">
      <c r="A1" s="167" t="s">
        <v>52</v>
      </c>
      <c r="B1" s="168">
        <f>B5+B89+B206+B220+B233</f>
        <v>40000000</v>
      </c>
      <c r="C1" s="306" t="s">
        <v>301</v>
      </c>
      <c r="D1" s="307"/>
      <c r="E1" s="307"/>
      <c r="F1" s="305"/>
      <c r="G1" s="305"/>
      <c r="H1" s="305"/>
      <c r="I1" s="305"/>
      <c r="J1" s="305"/>
      <c r="K1" s="305"/>
      <c r="L1" s="305"/>
      <c r="M1" s="305"/>
      <c r="N1" s="305"/>
      <c r="O1" s="305"/>
      <c r="P1" s="305"/>
      <c r="Q1" s="305"/>
      <c r="R1" s="305"/>
      <c r="S1" s="305"/>
      <c r="T1" s="305"/>
      <c r="U1" s="305"/>
      <c r="V1" s="305"/>
      <c r="W1" s="305"/>
      <c r="X1" s="305"/>
    </row>
    <row r="2" spans="1:25" s="117" customFormat="1" ht="14.45" customHeight="1" x14ac:dyDescent="0.25">
      <c r="A2" s="318" t="s">
        <v>144</v>
      </c>
      <c r="B2" s="319"/>
      <c r="C2" s="348" t="s">
        <v>43</v>
      </c>
      <c r="D2" s="349"/>
      <c r="E2" s="350"/>
      <c r="F2" s="170">
        <f>SUM(F7:F231)</f>
        <v>114.82939999999999</v>
      </c>
      <c r="G2" s="116">
        <f>SUM(G7:G231)</f>
        <v>12196484</v>
      </c>
      <c r="H2" s="337" t="s">
        <v>44</v>
      </c>
      <c r="I2" s="338"/>
      <c r="J2" s="338"/>
      <c r="K2" s="338"/>
      <c r="L2" s="338"/>
      <c r="M2" s="290" t="s">
        <v>45</v>
      </c>
      <c r="N2" s="317"/>
      <c r="O2" s="317"/>
      <c r="P2" s="317"/>
      <c r="Q2" s="290" t="s">
        <v>51</v>
      </c>
      <c r="R2" s="317"/>
      <c r="S2" s="317"/>
      <c r="T2" s="317"/>
      <c r="U2" s="290" t="s">
        <v>46</v>
      </c>
      <c r="V2" s="317"/>
      <c r="W2" s="317"/>
      <c r="X2" s="317"/>
    </row>
    <row r="3" spans="1:25" s="117" customFormat="1" ht="16.5" thickBot="1" x14ac:dyDescent="0.3">
      <c r="A3" s="320"/>
      <c r="B3" s="321"/>
      <c r="C3" s="351"/>
      <c r="D3" s="352"/>
      <c r="E3" s="353"/>
      <c r="F3" s="170">
        <f>F12+F20+F51+F59+F62+F121+F190+F191+F173+F134+F121+F211</f>
        <v>43</v>
      </c>
      <c r="G3" s="116">
        <f>G12+G20+G51+G59+G62+G121+G190+G191+G173+G134+G121</f>
        <v>4731600</v>
      </c>
      <c r="H3" s="338"/>
      <c r="I3" s="338"/>
      <c r="J3" s="338"/>
      <c r="K3" s="338"/>
      <c r="L3" s="338"/>
      <c r="M3" s="159"/>
      <c r="N3" s="163"/>
      <c r="O3" s="163"/>
      <c r="P3" s="163"/>
      <c r="Q3" s="159"/>
      <c r="R3" s="163"/>
      <c r="S3" s="163"/>
      <c r="T3" s="163"/>
      <c r="U3" s="159"/>
      <c r="V3" s="163"/>
      <c r="W3" s="163"/>
      <c r="X3" s="163"/>
    </row>
    <row r="4" spans="1:25" s="117" customFormat="1" ht="71.25" customHeight="1" thickBot="1" x14ac:dyDescent="0.3">
      <c r="A4" s="322"/>
      <c r="B4" s="323"/>
      <c r="C4" s="173" t="s">
        <v>48</v>
      </c>
      <c r="D4" s="174" t="s">
        <v>72</v>
      </c>
      <c r="E4" s="175" t="s">
        <v>181</v>
      </c>
      <c r="F4" s="176" t="s">
        <v>183</v>
      </c>
      <c r="G4" s="177" t="s">
        <v>2</v>
      </c>
      <c r="H4" s="177" t="s">
        <v>48</v>
      </c>
      <c r="I4" s="176" t="s">
        <v>49</v>
      </c>
      <c r="J4" s="176" t="s">
        <v>184</v>
      </c>
      <c r="K4" s="176" t="s">
        <v>183</v>
      </c>
      <c r="L4" s="177" t="s">
        <v>2</v>
      </c>
      <c r="M4" s="177" t="s">
        <v>48</v>
      </c>
      <c r="N4" s="176" t="s">
        <v>49</v>
      </c>
      <c r="O4" s="177" t="s">
        <v>50</v>
      </c>
      <c r="P4" s="177" t="s">
        <v>2</v>
      </c>
      <c r="Q4" s="177" t="s">
        <v>48</v>
      </c>
      <c r="R4" s="176" t="s">
        <v>49</v>
      </c>
      <c r="S4" s="177" t="s">
        <v>50</v>
      </c>
      <c r="T4" s="177" t="s">
        <v>2</v>
      </c>
      <c r="U4" s="177" t="s">
        <v>48</v>
      </c>
      <c r="V4" s="176" t="s">
        <v>49</v>
      </c>
      <c r="W4" s="177" t="s">
        <v>47</v>
      </c>
      <c r="X4" s="177" t="s">
        <v>2</v>
      </c>
    </row>
    <row r="5" spans="1:25" s="117" customFormat="1" ht="16.5" thickBot="1" x14ac:dyDescent="0.3">
      <c r="A5" s="169" t="s">
        <v>129</v>
      </c>
      <c r="B5" s="171">
        <f>SUM(B7:B87)</f>
        <v>22579118.800000001</v>
      </c>
      <c r="C5" s="308" t="s">
        <v>130</v>
      </c>
      <c r="D5" s="309"/>
      <c r="E5" s="309"/>
      <c r="F5" s="309"/>
      <c r="G5" s="309"/>
      <c r="H5" s="309"/>
      <c r="I5" s="309"/>
      <c r="J5" s="309"/>
      <c r="K5" s="309"/>
      <c r="L5" s="309"/>
      <c r="M5" s="309"/>
      <c r="N5" s="309"/>
      <c r="O5" s="309"/>
      <c r="P5" s="309"/>
      <c r="Q5" s="309"/>
      <c r="R5" s="309"/>
      <c r="S5" s="309"/>
      <c r="T5" s="309"/>
      <c r="U5" s="309"/>
      <c r="V5" s="309"/>
      <c r="W5" s="309"/>
      <c r="X5" s="310"/>
      <c r="Y5" s="172"/>
    </row>
    <row r="6" spans="1:25" s="122" customFormat="1" ht="15.75" x14ac:dyDescent="0.25">
      <c r="A6" s="324" t="s">
        <v>201</v>
      </c>
      <c r="B6" s="325"/>
      <c r="C6" s="326"/>
      <c r="D6" s="326"/>
      <c r="E6" s="326"/>
      <c r="F6" s="326"/>
      <c r="G6" s="326"/>
      <c r="H6" s="326"/>
      <c r="I6" s="326"/>
      <c r="J6" s="326"/>
      <c r="K6" s="326"/>
      <c r="L6" s="326"/>
      <c r="M6" s="326"/>
      <c r="N6" s="326"/>
      <c r="O6" s="326"/>
      <c r="P6" s="326"/>
      <c r="Q6" s="326"/>
      <c r="R6" s="326"/>
      <c r="S6" s="326"/>
      <c r="T6" s="326"/>
      <c r="U6" s="326"/>
      <c r="V6" s="326"/>
      <c r="W6" s="326"/>
      <c r="X6" s="326"/>
    </row>
    <row r="7" spans="1:25" s="117" customFormat="1" ht="75" x14ac:dyDescent="0.25">
      <c r="A7" s="301" t="s">
        <v>282</v>
      </c>
      <c r="B7" s="303">
        <f>SUM(G7:G10)+SUM(L7:L10)+SUM(P7:P10)+SUM(T7:T10)+SUM(X7:X10)</f>
        <v>489430.8</v>
      </c>
      <c r="C7" s="70" t="s">
        <v>284</v>
      </c>
      <c r="D7" s="71">
        <f>Prices!D$2</f>
        <v>16500</v>
      </c>
      <c r="E7" s="71">
        <v>12</v>
      </c>
      <c r="F7" s="71">
        <v>1</v>
      </c>
      <c r="G7" s="68">
        <f t="shared" ref="G7:G10" si="0">D7*E7*F7</f>
        <v>198000</v>
      </c>
      <c r="H7" s="85" t="s">
        <v>165</v>
      </c>
      <c r="I7" s="86">
        <f>Prices!$D$4</f>
        <v>20354.399999999998</v>
      </c>
      <c r="J7" s="86">
        <v>3</v>
      </c>
      <c r="K7" s="86">
        <v>1</v>
      </c>
      <c r="L7" s="87">
        <f>I7*J7*K7</f>
        <v>61063.199999999997</v>
      </c>
      <c r="M7" s="70" t="s">
        <v>219</v>
      </c>
      <c r="N7" s="71">
        <v>2775</v>
      </c>
      <c r="O7" s="71">
        <v>18</v>
      </c>
      <c r="P7" s="68">
        <f t="shared" ref="P7" si="1">N7*O7</f>
        <v>49950</v>
      </c>
      <c r="Q7" s="85"/>
      <c r="R7" s="86"/>
      <c r="S7" s="86"/>
      <c r="T7" s="87">
        <f>R7*S7</f>
        <v>0</v>
      </c>
      <c r="U7" s="107"/>
      <c r="V7" s="71"/>
      <c r="W7" s="71"/>
      <c r="X7" s="68">
        <f>V7*W7</f>
        <v>0</v>
      </c>
    </row>
    <row r="8" spans="1:25" s="117" customFormat="1" ht="34.5" customHeight="1" x14ac:dyDescent="0.25">
      <c r="A8" s="302"/>
      <c r="B8" s="302"/>
      <c r="C8" s="70"/>
      <c r="D8" s="71"/>
      <c r="E8" s="71"/>
      <c r="F8" s="71"/>
      <c r="G8" s="68">
        <f t="shared" si="0"/>
        <v>0</v>
      </c>
      <c r="H8" s="85" t="s">
        <v>194</v>
      </c>
      <c r="I8" s="86">
        <f>Prices!$D$4</f>
        <v>20354.399999999998</v>
      </c>
      <c r="J8" s="86">
        <v>4</v>
      </c>
      <c r="K8" s="86">
        <v>1</v>
      </c>
      <c r="L8" s="87">
        <f t="shared" ref="L8:L71" si="2">I8*J8*K8</f>
        <v>81417.599999999991</v>
      </c>
      <c r="M8" s="70"/>
      <c r="N8" s="71"/>
      <c r="O8" s="71"/>
      <c r="P8" s="68">
        <f>N8*O8</f>
        <v>0</v>
      </c>
      <c r="Q8" s="85"/>
      <c r="R8" s="86"/>
      <c r="S8" s="86"/>
      <c r="T8" s="87">
        <f>R8*S8</f>
        <v>0</v>
      </c>
      <c r="U8" s="107"/>
      <c r="V8" s="71"/>
      <c r="W8" s="71"/>
      <c r="X8" s="68">
        <f>V8*W8</f>
        <v>0</v>
      </c>
    </row>
    <row r="9" spans="1:25" s="117" customFormat="1" ht="20.25" customHeight="1" x14ac:dyDescent="0.25">
      <c r="A9" s="302"/>
      <c r="B9" s="302"/>
      <c r="C9" s="70"/>
      <c r="D9" s="71"/>
      <c r="E9" s="71"/>
      <c r="F9" s="71"/>
      <c r="G9" s="68">
        <f t="shared" si="0"/>
        <v>0</v>
      </c>
      <c r="H9" s="85" t="s">
        <v>166</v>
      </c>
      <c r="I9" s="86">
        <f>Prices!D$2</f>
        <v>16500</v>
      </c>
      <c r="J9" s="86">
        <v>3</v>
      </c>
      <c r="K9" s="86">
        <v>1</v>
      </c>
      <c r="L9" s="87">
        <f t="shared" si="2"/>
        <v>49500</v>
      </c>
      <c r="M9" s="70"/>
      <c r="N9" s="71"/>
      <c r="O9" s="71"/>
      <c r="P9" s="68">
        <f>N9*O9</f>
        <v>0</v>
      </c>
      <c r="Q9" s="85"/>
      <c r="R9" s="86"/>
      <c r="S9" s="86"/>
      <c r="T9" s="87">
        <f>R9*S9</f>
        <v>0</v>
      </c>
      <c r="U9" s="107"/>
      <c r="V9" s="71"/>
      <c r="W9" s="71"/>
      <c r="X9" s="68">
        <f>V9*W9</f>
        <v>0</v>
      </c>
    </row>
    <row r="10" spans="1:25" s="117" customFormat="1" ht="42" customHeight="1" x14ac:dyDescent="0.25">
      <c r="A10" s="302"/>
      <c r="B10" s="302"/>
      <c r="C10" s="70"/>
      <c r="D10" s="71"/>
      <c r="E10" s="71"/>
      <c r="F10" s="71"/>
      <c r="G10" s="68">
        <f t="shared" si="0"/>
        <v>0</v>
      </c>
      <c r="H10" s="85" t="s">
        <v>167</v>
      </c>
      <c r="I10" s="86">
        <f>Prices!D$2</f>
        <v>16500</v>
      </c>
      <c r="J10" s="86">
        <v>3</v>
      </c>
      <c r="K10" s="86">
        <v>1</v>
      </c>
      <c r="L10" s="87">
        <f t="shared" si="2"/>
        <v>49500</v>
      </c>
      <c r="M10" s="70"/>
      <c r="N10" s="71"/>
      <c r="O10" s="71"/>
      <c r="P10" s="68">
        <f>N10*O10</f>
        <v>0</v>
      </c>
      <c r="Q10" s="85"/>
      <c r="R10" s="86"/>
      <c r="S10" s="86"/>
      <c r="T10" s="87">
        <f>R10*S10</f>
        <v>0</v>
      </c>
      <c r="U10" s="107"/>
      <c r="V10" s="71"/>
      <c r="W10" s="71"/>
      <c r="X10" s="68">
        <f>V10*W10</f>
        <v>0</v>
      </c>
    </row>
    <row r="11" spans="1:25" s="117" customFormat="1" ht="17.100000000000001" customHeight="1" x14ac:dyDescent="0.25">
      <c r="A11" s="304" t="s">
        <v>151</v>
      </c>
      <c r="B11" s="305"/>
      <c r="C11" s="305"/>
      <c r="D11" s="305"/>
      <c r="E11" s="305"/>
      <c r="F11" s="305"/>
      <c r="G11" s="305"/>
      <c r="H11" s="305"/>
      <c r="I11" s="305"/>
      <c r="J11" s="305"/>
      <c r="K11" s="305"/>
      <c r="L11" s="305"/>
      <c r="M11" s="305"/>
      <c r="N11" s="305"/>
      <c r="O11" s="305"/>
      <c r="P11" s="305"/>
      <c r="Q11" s="305"/>
      <c r="R11" s="305"/>
      <c r="S11" s="305"/>
      <c r="T11" s="305"/>
      <c r="U11" s="305"/>
      <c r="V11" s="305"/>
      <c r="W11" s="305"/>
      <c r="X11" s="305"/>
    </row>
    <row r="12" spans="1:25" s="117" customFormat="1" ht="75" x14ac:dyDescent="0.25">
      <c r="A12" s="301" t="s">
        <v>275</v>
      </c>
      <c r="B12" s="303">
        <f>SUM(G12:G15)+SUM(L12:L15)+SUM(P12:P15)+SUM(T12:T15)+SUM(X12:X15)</f>
        <v>591423.19999999995</v>
      </c>
      <c r="C12" s="156" t="s">
        <v>232</v>
      </c>
      <c r="D12" s="71">
        <f>Prices!B3</f>
        <v>3080</v>
      </c>
      <c r="E12" s="71">
        <v>30</v>
      </c>
      <c r="F12" s="71">
        <v>3</v>
      </c>
      <c r="G12" s="68">
        <f t="shared" ref="G12:G43" si="3">D12*E12*F12</f>
        <v>277200</v>
      </c>
      <c r="H12" s="112" t="s">
        <v>163</v>
      </c>
      <c r="I12" s="86">
        <f>Prices!D$4</f>
        <v>20354.399999999998</v>
      </c>
      <c r="J12" s="86">
        <v>3</v>
      </c>
      <c r="K12" s="86">
        <v>1</v>
      </c>
      <c r="L12" s="87">
        <f t="shared" si="2"/>
        <v>61063.199999999997</v>
      </c>
      <c r="M12" s="70" t="s">
        <v>164</v>
      </c>
      <c r="N12" s="71">
        <v>150000</v>
      </c>
      <c r="O12" s="71">
        <v>1</v>
      </c>
      <c r="P12" s="68">
        <f>N12*O12</f>
        <v>150000</v>
      </c>
      <c r="Q12" s="85"/>
      <c r="R12" s="86"/>
      <c r="S12" s="86"/>
      <c r="T12" s="87">
        <f t="shared" ref="T12:T14" si="4">R12*S12</f>
        <v>0</v>
      </c>
      <c r="U12" s="107"/>
      <c r="V12" s="71"/>
      <c r="W12" s="71"/>
      <c r="X12" s="68">
        <f t="shared" ref="X12:X14" si="5">V12*W12</f>
        <v>0</v>
      </c>
    </row>
    <row r="13" spans="1:25" s="117" customFormat="1" ht="102" customHeight="1" x14ac:dyDescent="0.25">
      <c r="A13" s="302"/>
      <c r="B13" s="302"/>
      <c r="C13" s="70"/>
      <c r="D13" s="71"/>
      <c r="E13" s="71"/>
      <c r="F13" s="71"/>
      <c r="G13" s="68">
        <f>D13*E13*F13</f>
        <v>0</v>
      </c>
      <c r="H13" s="111" t="s">
        <v>276</v>
      </c>
      <c r="I13" s="86">
        <f>Prices!$D$8</f>
        <v>4620</v>
      </c>
      <c r="J13" s="86">
        <v>8</v>
      </c>
      <c r="K13" s="86">
        <v>1</v>
      </c>
      <c r="L13" s="87">
        <f>I13*J13*K13</f>
        <v>36960</v>
      </c>
      <c r="M13" s="70" t="s">
        <v>152</v>
      </c>
      <c r="N13" s="71">
        <v>1000</v>
      </c>
      <c r="O13" s="71">
        <v>20</v>
      </c>
      <c r="P13" s="68">
        <f>N13*O13</f>
        <v>20000</v>
      </c>
      <c r="Q13" s="85"/>
      <c r="R13" s="86"/>
      <c r="S13" s="86"/>
      <c r="T13" s="87">
        <f t="shared" si="4"/>
        <v>0</v>
      </c>
      <c r="U13" s="107"/>
      <c r="V13" s="71"/>
      <c r="W13" s="71"/>
      <c r="X13" s="68">
        <f t="shared" si="5"/>
        <v>0</v>
      </c>
    </row>
    <row r="14" spans="1:25" s="117" customFormat="1" ht="60" x14ac:dyDescent="0.25">
      <c r="A14" s="302"/>
      <c r="B14" s="302"/>
      <c r="C14" s="70"/>
      <c r="D14" s="71"/>
      <c r="E14" s="71"/>
      <c r="F14" s="71"/>
      <c r="G14" s="68">
        <f t="shared" si="3"/>
        <v>0</v>
      </c>
      <c r="H14" s="111" t="s">
        <v>185</v>
      </c>
      <c r="I14" s="86">
        <f>Prices!$D$8</f>
        <v>4620</v>
      </c>
      <c r="J14" s="86">
        <v>10</v>
      </c>
      <c r="K14" s="86">
        <v>1</v>
      </c>
      <c r="L14" s="87">
        <f t="shared" si="2"/>
        <v>46200</v>
      </c>
      <c r="M14" s="70"/>
      <c r="N14" s="71"/>
      <c r="O14" s="71"/>
      <c r="P14" s="68">
        <f t="shared" ref="P14" si="6">N14*O14</f>
        <v>0</v>
      </c>
      <c r="Q14" s="85"/>
      <c r="R14" s="86"/>
      <c r="S14" s="86"/>
      <c r="T14" s="87">
        <f t="shared" si="4"/>
        <v>0</v>
      </c>
      <c r="U14" s="107"/>
      <c r="V14" s="71"/>
      <c r="W14" s="71"/>
      <c r="X14" s="68">
        <f t="shared" si="5"/>
        <v>0</v>
      </c>
    </row>
    <row r="15" spans="1:25" s="117" customFormat="1" ht="15" customHeight="1" x14ac:dyDescent="0.25">
      <c r="A15" s="302"/>
      <c r="B15" s="302"/>
      <c r="C15" s="70"/>
      <c r="D15" s="71"/>
      <c r="E15" s="71"/>
      <c r="F15" s="71"/>
      <c r="G15" s="68">
        <f t="shared" si="3"/>
        <v>0</v>
      </c>
      <c r="H15" s="85"/>
      <c r="I15" s="86"/>
      <c r="J15" s="86"/>
      <c r="K15" s="86"/>
      <c r="L15" s="87">
        <f t="shared" si="2"/>
        <v>0</v>
      </c>
      <c r="M15" s="70"/>
      <c r="N15" s="71"/>
      <c r="O15" s="71"/>
      <c r="P15" s="68"/>
      <c r="Q15" s="85"/>
      <c r="R15" s="86"/>
      <c r="S15" s="86"/>
      <c r="T15" s="87"/>
      <c r="U15" s="107"/>
      <c r="V15" s="71"/>
      <c r="W15" s="71"/>
      <c r="X15" s="68"/>
    </row>
    <row r="16" spans="1:25" s="117" customFormat="1" ht="180" x14ac:dyDescent="0.25">
      <c r="A16" s="301" t="s">
        <v>160</v>
      </c>
      <c r="B16" s="303">
        <f>SUM(G16:G19)+SUM(L16:L19)+SUM(P16:P19)+SUM(T16:T19)+SUM(X16:X19)</f>
        <v>167480</v>
      </c>
      <c r="C16" s="70"/>
      <c r="D16" s="71"/>
      <c r="E16" s="71"/>
      <c r="F16" s="71"/>
      <c r="G16" s="68">
        <f t="shared" si="3"/>
        <v>0</v>
      </c>
      <c r="H16" s="85" t="s">
        <v>285</v>
      </c>
      <c r="I16" s="86">
        <f>Prices!D$2</f>
        <v>16500</v>
      </c>
      <c r="J16" s="86">
        <v>6</v>
      </c>
      <c r="K16" s="86">
        <v>1</v>
      </c>
      <c r="L16" s="87">
        <f t="shared" si="2"/>
        <v>99000</v>
      </c>
      <c r="M16" s="70"/>
      <c r="N16" s="71"/>
      <c r="O16" s="71"/>
      <c r="P16" s="68">
        <f t="shared" ref="P16:P82" si="7">N16*O16</f>
        <v>0</v>
      </c>
      <c r="Q16" s="85"/>
      <c r="R16" s="86"/>
      <c r="S16" s="86"/>
      <c r="T16" s="87">
        <f t="shared" ref="T16:T82" si="8">R16*S16</f>
        <v>0</v>
      </c>
      <c r="U16" s="107"/>
      <c r="V16" s="71"/>
      <c r="W16" s="71"/>
      <c r="X16" s="68">
        <f t="shared" ref="X16:X82" si="9">V16*W16</f>
        <v>0</v>
      </c>
    </row>
    <row r="17" spans="1:24" s="117" customFormat="1" ht="60" x14ac:dyDescent="0.25">
      <c r="A17" s="301"/>
      <c r="B17" s="303"/>
      <c r="C17" s="70"/>
      <c r="D17" s="71"/>
      <c r="E17" s="71"/>
      <c r="F17" s="71"/>
      <c r="G17" s="68">
        <f t="shared" si="3"/>
        <v>0</v>
      </c>
      <c r="H17" s="111" t="s">
        <v>155</v>
      </c>
      <c r="I17" s="86">
        <f>Prices!$D$8</f>
        <v>4620</v>
      </c>
      <c r="J17" s="86">
        <v>4</v>
      </c>
      <c r="K17" s="86">
        <v>1</v>
      </c>
      <c r="L17" s="87">
        <f t="shared" si="2"/>
        <v>18480</v>
      </c>
      <c r="M17" s="70"/>
      <c r="N17" s="71"/>
      <c r="O17" s="71"/>
      <c r="P17" s="68"/>
      <c r="Q17" s="85"/>
      <c r="R17" s="86"/>
      <c r="S17" s="86"/>
      <c r="T17" s="87"/>
      <c r="U17" s="107"/>
      <c r="V17" s="71"/>
      <c r="W17" s="71"/>
      <c r="X17" s="68"/>
    </row>
    <row r="18" spans="1:24" s="117" customFormat="1" ht="60" x14ac:dyDescent="0.25">
      <c r="A18" s="302"/>
      <c r="B18" s="302"/>
      <c r="C18" s="70"/>
      <c r="D18" s="71"/>
      <c r="E18" s="71"/>
      <c r="F18" s="71"/>
      <c r="G18" s="68">
        <f t="shared" si="3"/>
        <v>0</v>
      </c>
      <c r="H18" s="85" t="s">
        <v>156</v>
      </c>
      <c r="I18" s="86">
        <v>50000</v>
      </c>
      <c r="J18" s="86">
        <v>1</v>
      </c>
      <c r="K18" s="86">
        <v>1</v>
      </c>
      <c r="L18" s="87">
        <f t="shared" si="2"/>
        <v>50000</v>
      </c>
      <c r="M18" s="70"/>
      <c r="N18" s="71"/>
      <c r="O18" s="71"/>
      <c r="P18" s="68">
        <f t="shared" si="7"/>
        <v>0</v>
      </c>
      <c r="Q18" s="85"/>
      <c r="R18" s="86"/>
      <c r="S18" s="86"/>
      <c r="T18" s="87">
        <f t="shared" si="8"/>
        <v>0</v>
      </c>
      <c r="U18" s="107"/>
      <c r="V18" s="71"/>
      <c r="W18" s="71"/>
      <c r="X18" s="68">
        <f t="shared" si="9"/>
        <v>0</v>
      </c>
    </row>
    <row r="19" spans="1:24" s="117" customFormat="1" ht="15.75" customHeight="1" x14ac:dyDescent="0.25">
      <c r="A19" s="302"/>
      <c r="B19" s="302"/>
      <c r="C19" s="70"/>
      <c r="D19" s="71"/>
      <c r="E19" s="71"/>
      <c r="F19" s="71"/>
      <c r="G19" s="68">
        <f t="shared" si="3"/>
        <v>0</v>
      </c>
      <c r="H19" s="85"/>
      <c r="I19" s="86"/>
      <c r="J19" s="86"/>
      <c r="K19" s="86"/>
      <c r="L19" s="87">
        <f t="shared" si="2"/>
        <v>0</v>
      </c>
      <c r="M19" s="70"/>
      <c r="N19" s="71"/>
      <c r="O19" s="71"/>
      <c r="P19" s="68"/>
      <c r="Q19" s="85"/>
      <c r="R19" s="86"/>
      <c r="S19" s="86"/>
      <c r="T19" s="87"/>
      <c r="U19" s="107"/>
      <c r="V19" s="71"/>
      <c r="W19" s="71"/>
      <c r="X19" s="68"/>
    </row>
    <row r="20" spans="1:24" s="117" customFormat="1" ht="120" x14ac:dyDescent="0.25">
      <c r="A20" s="301" t="s">
        <v>288</v>
      </c>
      <c r="B20" s="303">
        <f>SUM(G20:G23)+SUM(L20:L23)+SUM(P20:P23)+SUM(T20:T23)+SUM(X20:X23)</f>
        <v>510206.4</v>
      </c>
      <c r="C20" s="156" t="s">
        <v>221</v>
      </c>
      <c r="D20" s="71">
        <f>Prices!B3</f>
        <v>3080</v>
      </c>
      <c r="E20" s="71">
        <v>30</v>
      </c>
      <c r="F20" s="71">
        <v>4</v>
      </c>
      <c r="G20" s="68">
        <f t="shared" si="3"/>
        <v>369600</v>
      </c>
      <c r="H20" s="85" t="s">
        <v>233</v>
      </c>
      <c r="I20" s="86">
        <f>Prices!D$4</f>
        <v>20354.399999999998</v>
      </c>
      <c r="J20" s="86">
        <v>6</v>
      </c>
      <c r="K20" s="86">
        <v>1</v>
      </c>
      <c r="L20" s="87">
        <f t="shared" si="2"/>
        <v>122126.39999999999</v>
      </c>
      <c r="M20" s="70"/>
      <c r="N20" s="71"/>
      <c r="O20" s="71"/>
      <c r="P20" s="68">
        <f t="shared" si="7"/>
        <v>0</v>
      </c>
      <c r="Q20" s="85"/>
      <c r="R20" s="86"/>
      <c r="S20" s="86"/>
      <c r="T20" s="87">
        <f t="shared" si="8"/>
        <v>0</v>
      </c>
      <c r="U20" s="107"/>
      <c r="V20" s="71"/>
      <c r="W20" s="71"/>
      <c r="X20" s="68">
        <f t="shared" si="9"/>
        <v>0</v>
      </c>
    </row>
    <row r="21" spans="1:24" s="117" customFormat="1" ht="73.5" customHeight="1" x14ac:dyDescent="0.25">
      <c r="A21" s="302"/>
      <c r="B21" s="302"/>
      <c r="C21" s="70"/>
      <c r="D21" s="71"/>
      <c r="E21" s="71"/>
      <c r="F21" s="71"/>
      <c r="G21" s="68">
        <f t="shared" si="3"/>
        <v>0</v>
      </c>
      <c r="H21" s="112" t="s">
        <v>170</v>
      </c>
      <c r="I21" s="86">
        <f>Prices!$D$8</f>
        <v>4620</v>
      </c>
      <c r="J21" s="86">
        <v>4</v>
      </c>
      <c r="K21" s="86">
        <v>1</v>
      </c>
      <c r="L21" s="87">
        <f t="shared" si="2"/>
        <v>18480</v>
      </c>
      <c r="M21" s="70"/>
      <c r="N21" s="71"/>
      <c r="O21" s="71"/>
      <c r="P21" s="68">
        <f t="shared" si="7"/>
        <v>0</v>
      </c>
      <c r="Q21" s="85"/>
      <c r="R21" s="86"/>
      <c r="S21" s="86"/>
      <c r="T21" s="87">
        <f t="shared" si="8"/>
        <v>0</v>
      </c>
      <c r="U21" s="107"/>
      <c r="V21" s="71"/>
      <c r="W21" s="71"/>
      <c r="X21" s="68">
        <f t="shared" si="9"/>
        <v>0</v>
      </c>
    </row>
    <row r="22" spans="1:24" s="117" customFormat="1" ht="15" customHeight="1" x14ac:dyDescent="0.25">
      <c r="A22" s="302"/>
      <c r="B22" s="302"/>
      <c r="C22" s="70"/>
      <c r="D22" s="71"/>
      <c r="E22" s="71"/>
      <c r="F22" s="71"/>
      <c r="G22" s="68">
        <f t="shared" si="3"/>
        <v>0</v>
      </c>
      <c r="H22" s="115"/>
      <c r="I22" s="115"/>
      <c r="J22" s="115"/>
      <c r="K22" s="115"/>
      <c r="L22" s="87">
        <f t="shared" si="2"/>
        <v>0</v>
      </c>
      <c r="M22" s="70"/>
      <c r="N22" s="71"/>
      <c r="O22" s="71"/>
      <c r="P22" s="68"/>
      <c r="Q22" s="85"/>
      <c r="R22" s="86"/>
      <c r="S22" s="86"/>
      <c r="T22" s="87"/>
      <c r="U22" s="107"/>
      <c r="V22" s="71"/>
      <c r="W22" s="71"/>
      <c r="X22" s="68"/>
    </row>
    <row r="23" spans="1:24" s="117" customFormat="1" ht="15.75" customHeight="1" thickBot="1" x14ac:dyDescent="0.3">
      <c r="A23" s="302"/>
      <c r="B23" s="311"/>
      <c r="C23" s="70"/>
      <c r="D23" s="71"/>
      <c r="E23" s="71"/>
      <c r="F23" s="71"/>
      <c r="G23" s="68">
        <f t="shared" si="3"/>
        <v>0</v>
      </c>
      <c r="H23" s="85"/>
      <c r="I23" s="86"/>
      <c r="J23" s="86"/>
      <c r="K23" s="86"/>
      <c r="L23" s="87">
        <f t="shared" si="2"/>
        <v>0</v>
      </c>
      <c r="M23" s="70"/>
      <c r="N23" s="71"/>
      <c r="O23" s="71"/>
      <c r="P23" s="68"/>
      <c r="Q23" s="85"/>
      <c r="R23" s="86"/>
      <c r="S23" s="86"/>
      <c r="T23" s="87"/>
      <c r="U23" s="107"/>
      <c r="V23" s="71"/>
      <c r="W23" s="71"/>
      <c r="X23" s="68"/>
    </row>
    <row r="24" spans="1:24" s="117" customFormat="1" ht="15.75" thickBot="1" x14ac:dyDescent="0.3">
      <c r="A24" s="312" t="s">
        <v>289</v>
      </c>
      <c r="B24" s="314">
        <f>SUM(G24:G27)+SUM(L24:L27)+SUM(P24:P27)+SUM(T24:T27)+SUM(X24:X27)</f>
        <v>149897.59999999998</v>
      </c>
      <c r="C24" s="180"/>
      <c r="D24" s="71"/>
      <c r="E24" s="71"/>
      <c r="F24" s="71"/>
      <c r="G24" s="68">
        <f t="shared" si="3"/>
        <v>0</v>
      </c>
      <c r="H24" s="123"/>
      <c r="I24" s="86"/>
      <c r="J24" s="86"/>
      <c r="K24" s="86"/>
      <c r="L24" s="87">
        <f t="shared" si="2"/>
        <v>0</v>
      </c>
      <c r="M24" s="70"/>
      <c r="N24" s="71"/>
      <c r="O24" s="71"/>
      <c r="P24" s="68">
        <f t="shared" ref="P24:P26" si="10">N24*O24</f>
        <v>0</v>
      </c>
      <c r="Q24" s="85"/>
      <c r="R24" s="86"/>
      <c r="S24" s="86"/>
      <c r="T24" s="87">
        <f t="shared" ref="T24:T26" si="11">R24*S24</f>
        <v>0</v>
      </c>
      <c r="U24" s="107"/>
      <c r="V24" s="71"/>
      <c r="W24" s="71"/>
      <c r="X24" s="68">
        <f t="shared" ref="X24:X26" si="12">V24*W24</f>
        <v>0</v>
      </c>
    </row>
    <row r="25" spans="1:24" s="117" customFormat="1" ht="165.75" thickBot="1" x14ac:dyDescent="0.3">
      <c r="A25" s="313"/>
      <c r="B25" s="315"/>
      <c r="C25" s="182"/>
      <c r="D25" s="179"/>
      <c r="E25" s="71"/>
      <c r="F25" s="71"/>
      <c r="G25" s="68">
        <f t="shared" si="3"/>
        <v>0</v>
      </c>
      <c r="H25" s="85" t="s">
        <v>234</v>
      </c>
      <c r="I25" s="86">
        <f>Prices!D$4</f>
        <v>20354.399999999998</v>
      </c>
      <c r="J25" s="86">
        <v>4</v>
      </c>
      <c r="K25" s="86">
        <v>1</v>
      </c>
      <c r="L25" s="87">
        <f t="shared" si="2"/>
        <v>81417.599999999991</v>
      </c>
      <c r="M25" s="70"/>
      <c r="N25" s="71"/>
      <c r="O25" s="71"/>
      <c r="P25" s="68">
        <f t="shared" si="10"/>
        <v>0</v>
      </c>
      <c r="Q25" s="85"/>
      <c r="R25" s="86"/>
      <c r="S25" s="86"/>
      <c r="T25" s="87">
        <f t="shared" si="11"/>
        <v>0</v>
      </c>
      <c r="U25" s="107"/>
      <c r="V25" s="71"/>
      <c r="W25" s="71"/>
      <c r="X25" s="68">
        <f t="shared" si="12"/>
        <v>0</v>
      </c>
    </row>
    <row r="26" spans="1:24" s="117" customFormat="1" ht="90" x14ac:dyDescent="0.25">
      <c r="A26" s="313"/>
      <c r="B26" s="315"/>
      <c r="C26" s="181"/>
      <c r="D26" s="71"/>
      <c r="E26" s="71"/>
      <c r="F26" s="71"/>
      <c r="G26" s="68">
        <f t="shared" si="3"/>
        <v>0</v>
      </c>
      <c r="H26" s="111" t="s">
        <v>153</v>
      </c>
      <c r="I26" s="86">
        <f>Prices!$D$8</f>
        <v>4620</v>
      </c>
      <c r="J26" s="86">
        <v>4</v>
      </c>
      <c r="K26" s="86">
        <v>1</v>
      </c>
      <c r="L26" s="87">
        <f>I26*J26*K26</f>
        <v>18480</v>
      </c>
      <c r="M26" s="70"/>
      <c r="N26" s="71"/>
      <c r="O26" s="71"/>
      <c r="P26" s="68">
        <f t="shared" si="10"/>
        <v>0</v>
      </c>
      <c r="Q26" s="85"/>
      <c r="R26" s="86"/>
      <c r="S26" s="86"/>
      <c r="T26" s="87">
        <f t="shared" si="11"/>
        <v>0</v>
      </c>
      <c r="U26" s="107"/>
      <c r="V26" s="71"/>
      <c r="W26" s="71"/>
      <c r="X26" s="68">
        <f t="shared" si="12"/>
        <v>0</v>
      </c>
    </row>
    <row r="27" spans="1:24" s="117" customFormat="1" ht="60.75" thickBot="1" x14ac:dyDescent="0.3">
      <c r="A27" s="313"/>
      <c r="B27" s="316"/>
      <c r="C27" s="178"/>
      <c r="D27" s="71"/>
      <c r="E27" s="71"/>
      <c r="F27" s="71"/>
      <c r="G27" s="68">
        <f t="shared" si="3"/>
        <v>0</v>
      </c>
      <c r="H27" s="85" t="s">
        <v>186</v>
      </c>
      <c r="I27" s="86">
        <v>50000</v>
      </c>
      <c r="J27" s="86">
        <v>1</v>
      </c>
      <c r="K27" s="86"/>
      <c r="L27" s="87">
        <f>I27*J27</f>
        <v>50000</v>
      </c>
      <c r="M27" s="70"/>
      <c r="N27" s="71"/>
      <c r="O27" s="71"/>
      <c r="P27" s="68"/>
      <c r="Q27" s="85"/>
      <c r="R27" s="86"/>
      <c r="S27" s="86"/>
      <c r="T27" s="87"/>
      <c r="U27" s="107"/>
      <c r="V27" s="71"/>
      <c r="W27" s="71"/>
      <c r="X27" s="68"/>
    </row>
    <row r="28" spans="1:24" s="117" customFormat="1" x14ac:dyDescent="0.25">
      <c r="A28" s="301" t="s">
        <v>264</v>
      </c>
      <c r="B28" s="298">
        <f>SUM(G28:G31)+SUM(L28:L31)+SUM(P28:P31)+SUM(T28:T31)+SUM(X28:X31)</f>
        <v>79860</v>
      </c>
      <c r="C28" s="70"/>
      <c r="D28" s="70"/>
      <c r="E28" s="71"/>
      <c r="F28" s="71"/>
      <c r="G28" s="68">
        <f t="shared" si="3"/>
        <v>0</v>
      </c>
      <c r="H28" s="112"/>
      <c r="I28" s="86"/>
      <c r="J28" s="86"/>
      <c r="K28" s="86"/>
      <c r="L28" s="87">
        <f t="shared" si="2"/>
        <v>0</v>
      </c>
      <c r="M28" s="70"/>
      <c r="N28" s="71"/>
      <c r="O28" s="71"/>
      <c r="P28" s="68">
        <f t="shared" ref="P28:P33" si="13">N28*O28</f>
        <v>0</v>
      </c>
      <c r="Q28" s="85"/>
      <c r="R28" s="86"/>
      <c r="S28" s="86"/>
      <c r="T28" s="87">
        <f t="shared" ref="T28:T33" si="14">R28*S28</f>
        <v>0</v>
      </c>
      <c r="U28" s="107"/>
      <c r="V28" s="71"/>
      <c r="W28" s="71"/>
      <c r="X28" s="68">
        <f t="shared" ref="X28:X33" si="15">V28*W28</f>
        <v>0</v>
      </c>
    </row>
    <row r="29" spans="1:24" s="117" customFormat="1" ht="150" x14ac:dyDescent="0.25">
      <c r="A29" s="302"/>
      <c r="B29" s="302"/>
      <c r="C29" s="70"/>
      <c r="D29" s="71"/>
      <c r="E29" s="71"/>
      <c r="F29" s="71"/>
      <c r="G29" s="68">
        <f t="shared" si="3"/>
        <v>0</v>
      </c>
      <c r="H29" s="85" t="s">
        <v>235</v>
      </c>
      <c r="I29" s="86">
        <f>Prices!D$2</f>
        <v>16500</v>
      </c>
      <c r="J29" s="86">
        <v>4</v>
      </c>
      <c r="K29" s="86">
        <v>1</v>
      </c>
      <c r="L29" s="87">
        <f t="shared" si="2"/>
        <v>66000</v>
      </c>
      <c r="M29" s="70"/>
      <c r="N29" s="71"/>
      <c r="O29" s="71"/>
      <c r="P29" s="68">
        <f t="shared" si="13"/>
        <v>0</v>
      </c>
      <c r="Q29" s="85"/>
      <c r="R29" s="86"/>
      <c r="S29" s="86"/>
      <c r="T29" s="87">
        <f t="shared" si="14"/>
        <v>0</v>
      </c>
      <c r="U29" s="107"/>
      <c r="V29" s="71"/>
      <c r="W29" s="71"/>
      <c r="X29" s="68">
        <f t="shared" si="15"/>
        <v>0</v>
      </c>
    </row>
    <row r="30" spans="1:24" s="117" customFormat="1" ht="75" x14ac:dyDescent="0.25">
      <c r="A30" s="302"/>
      <c r="B30" s="302"/>
      <c r="C30" s="70"/>
      <c r="D30" s="71"/>
      <c r="E30" s="71"/>
      <c r="F30" s="71"/>
      <c r="G30" s="68">
        <f t="shared" si="3"/>
        <v>0</v>
      </c>
      <c r="H30" s="113" t="s">
        <v>154</v>
      </c>
      <c r="I30" s="114">
        <f>Prices!$D$8</f>
        <v>4620</v>
      </c>
      <c r="J30" s="114">
        <v>3</v>
      </c>
      <c r="K30" s="114">
        <v>1</v>
      </c>
      <c r="L30" s="87">
        <f t="shared" si="2"/>
        <v>13860</v>
      </c>
      <c r="M30" s="70"/>
      <c r="N30" s="71"/>
      <c r="O30" s="71"/>
      <c r="P30" s="68"/>
      <c r="Q30" s="85"/>
      <c r="R30" s="86"/>
      <c r="S30" s="86"/>
      <c r="T30" s="87"/>
      <c r="U30" s="107"/>
      <c r="V30" s="71"/>
      <c r="W30" s="71"/>
      <c r="X30" s="68"/>
    </row>
    <row r="31" spans="1:24" s="117" customFormat="1" ht="15.75" customHeight="1" x14ac:dyDescent="0.25">
      <c r="A31" s="302"/>
      <c r="B31" s="302"/>
      <c r="C31" s="70"/>
      <c r="D31" s="71"/>
      <c r="E31" s="71"/>
      <c r="F31" s="71"/>
      <c r="G31" s="68">
        <f t="shared" si="3"/>
        <v>0</v>
      </c>
      <c r="H31" s="85"/>
      <c r="I31" s="86"/>
      <c r="J31" s="86"/>
      <c r="K31" s="86"/>
      <c r="L31" s="87">
        <f t="shared" si="2"/>
        <v>0</v>
      </c>
      <c r="M31" s="70"/>
      <c r="N31" s="71"/>
      <c r="O31" s="71"/>
      <c r="P31" s="68"/>
      <c r="Q31" s="85"/>
      <c r="R31" s="86"/>
      <c r="S31" s="86"/>
      <c r="T31" s="87"/>
      <c r="U31" s="107"/>
      <c r="V31" s="71"/>
      <c r="W31" s="71"/>
      <c r="X31" s="68"/>
    </row>
    <row r="32" spans="1:24" s="117" customFormat="1" x14ac:dyDescent="0.25">
      <c r="A32" s="301" t="s">
        <v>267</v>
      </c>
      <c r="B32" s="303">
        <f>SUM(G32:G35)+SUM(L32:L35)+SUM(P32:P35)+SUM(T32:T35)+SUM(X32:X35)</f>
        <v>170200.8</v>
      </c>
      <c r="C32" s="70"/>
      <c r="D32" s="71"/>
      <c r="E32" s="71"/>
      <c r="F32" s="71"/>
      <c r="G32" s="68">
        <f t="shared" si="3"/>
        <v>0</v>
      </c>
      <c r="H32" s="112"/>
      <c r="I32" s="86"/>
      <c r="J32" s="86"/>
      <c r="K32" s="86"/>
      <c r="L32" s="87">
        <f t="shared" si="2"/>
        <v>0</v>
      </c>
      <c r="M32" s="70"/>
      <c r="N32" s="71"/>
      <c r="O32" s="71"/>
      <c r="P32" s="68">
        <f t="shared" si="13"/>
        <v>0</v>
      </c>
      <c r="Q32" s="85"/>
      <c r="R32" s="86"/>
      <c r="S32" s="86"/>
      <c r="T32" s="87">
        <f t="shared" si="14"/>
        <v>0</v>
      </c>
      <c r="U32" s="107"/>
      <c r="V32" s="71"/>
      <c r="W32" s="71"/>
      <c r="X32" s="68">
        <f t="shared" si="15"/>
        <v>0</v>
      </c>
    </row>
    <row r="33" spans="1:24" s="117" customFormat="1" ht="150" x14ac:dyDescent="0.25">
      <c r="A33" s="302"/>
      <c r="B33" s="302"/>
      <c r="C33" s="70"/>
      <c r="D33" s="71">
        <v>0</v>
      </c>
      <c r="E33" s="71">
        <v>0</v>
      </c>
      <c r="F33" s="71">
        <v>0</v>
      </c>
      <c r="G33" s="68">
        <f t="shared" si="3"/>
        <v>0</v>
      </c>
      <c r="H33" s="85" t="s">
        <v>173</v>
      </c>
      <c r="I33" s="86">
        <f>Prices!D$4</f>
        <v>20354.399999999998</v>
      </c>
      <c r="J33" s="86">
        <v>7</v>
      </c>
      <c r="K33" s="86">
        <v>1</v>
      </c>
      <c r="L33" s="87">
        <f t="shared" si="2"/>
        <v>142480.79999999999</v>
      </c>
      <c r="M33" s="70"/>
      <c r="N33" s="71"/>
      <c r="O33" s="71"/>
      <c r="P33" s="68">
        <f t="shared" si="13"/>
        <v>0</v>
      </c>
      <c r="Q33" s="85"/>
      <c r="R33" s="86"/>
      <c r="S33" s="86"/>
      <c r="T33" s="87">
        <f t="shared" si="14"/>
        <v>0</v>
      </c>
      <c r="U33" s="107"/>
      <c r="V33" s="71"/>
      <c r="W33" s="71"/>
      <c r="X33" s="68">
        <f t="shared" si="15"/>
        <v>0</v>
      </c>
    </row>
    <row r="34" spans="1:24" s="117" customFormat="1" ht="105" x14ac:dyDescent="0.25">
      <c r="A34" s="302"/>
      <c r="B34" s="302"/>
      <c r="C34" s="70"/>
      <c r="D34" s="71"/>
      <c r="E34" s="71"/>
      <c r="F34" s="71"/>
      <c r="G34" s="68">
        <f t="shared" si="3"/>
        <v>0</v>
      </c>
      <c r="H34" s="85" t="s">
        <v>172</v>
      </c>
      <c r="I34" s="114">
        <f>Prices!$D$8</f>
        <v>4620</v>
      </c>
      <c r="J34" s="86">
        <v>6</v>
      </c>
      <c r="K34" s="86">
        <v>1</v>
      </c>
      <c r="L34" s="87">
        <f t="shared" si="2"/>
        <v>27720</v>
      </c>
      <c r="M34" s="70"/>
      <c r="N34" s="71"/>
      <c r="O34" s="71"/>
      <c r="P34" s="68"/>
      <c r="Q34" s="85"/>
      <c r="R34" s="86"/>
      <c r="S34" s="86"/>
      <c r="T34" s="87"/>
      <c r="U34" s="107"/>
      <c r="V34" s="71"/>
      <c r="W34" s="71"/>
      <c r="X34" s="68"/>
    </row>
    <row r="35" spans="1:24" s="117" customFormat="1" ht="15.75" customHeight="1" x14ac:dyDescent="0.25">
      <c r="A35" s="302"/>
      <c r="B35" s="302"/>
      <c r="C35" s="70"/>
      <c r="D35" s="71"/>
      <c r="E35" s="71"/>
      <c r="F35" s="71"/>
      <c r="G35" s="68">
        <f t="shared" si="3"/>
        <v>0</v>
      </c>
      <c r="H35" s="85"/>
      <c r="I35" s="86"/>
      <c r="J35" s="86"/>
      <c r="K35" s="86"/>
      <c r="L35" s="87">
        <f t="shared" si="2"/>
        <v>0</v>
      </c>
      <c r="M35" s="70"/>
      <c r="N35" s="71"/>
      <c r="O35" s="71"/>
      <c r="P35" s="68"/>
      <c r="Q35" s="85"/>
      <c r="R35" s="86"/>
      <c r="S35" s="86"/>
      <c r="T35" s="87"/>
      <c r="U35" s="107"/>
      <c r="V35" s="71"/>
      <c r="W35" s="71"/>
      <c r="X35" s="68"/>
    </row>
    <row r="36" spans="1:24" s="117" customFormat="1" x14ac:dyDescent="0.25">
      <c r="A36" s="301" t="s">
        <v>290</v>
      </c>
      <c r="B36" s="303">
        <f>SUM(G36:G39)+SUM(L36:L39)+SUM(P36:P39)+SUM(T36:T39)+SUM(X36:X39)</f>
        <v>75240</v>
      </c>
      <c r="C36" s="70"/>
      <c r="D36" s="71"/>
      <c r="E36" s="71"/>
      <c r="F36" s="71"/>
      <c r="G36" s="68">
        <f t="shared" si="3"/>
        <v>0</v>
      </c>
      <c r="H36" s="112"/>
      <c r="I36" s="86"/>
      <c r="J36" s="86"/>
      <c r="K36" s="86"/>
      <c r="L36" s="87">
        <f t="shared" si="2"/>
        <v>0</v>
      </c>
      <c r="M36" s="70"/>
      <c r="N36" s="71"/>
      <c r="O36" s="71"/>
      <c r="P36" s="68">
        <f t="shared" ref="P36:P43" si="16">N36*O36</f>
        <v>0</v>
      </c>
      <c r="Q36" s="85"/>
      <c r="R36" s="86"/>
      <c r="S36" s="86"/>
      <c r="T36" s="87">
        <f t="shared" ref="T36:T43" si="17">R36*S36</f>
        <v>0</v>
      </c>
      <c r="U36" s="107"/>
      <c r="V36" s="71"/>
      <c r="W36" s="71"/>
      <c r="X36" s="68">
        <f t="shared" ref="X36:X43" si="18">V36*W36</f>
        <v>0</v>
      </c>
    </row>
    <row r="37" spans="1:24" s="117" customFormat="1" ht="157.5" customHeight="1" x14ac:dyDescent="0.25">
      <c r="A37" s="302"/>
      <c r="B37" s="302"/>
      <c r="C37" s="70"/>
      <c r="D37" s="71"/>
      <c r="E37" s="71"/>
      <c r="F37" s="71"/>
      <c r="G37" s="68">
        <f t="shared" si="3"/>
        <v>0</v>
      </c>
      <c r="H37" s="85" t="s">
        <v>236</v>
      </c>
      <c r="I37" s="86">
        <f>Prices!D$2</f>
        <v>16500</v>
      </c>
      <c r="J37" s="86">
        <v>4</v>
      </c>
      <c r="K37" s="86">
        <v>1</v>
      </c>
      <c r="L37" s="87">
        <f t="shared" si="2"/>
        <v>66000</v>
      </c>
      <c r="M37" s="70"/>
      <c r="N37" s="71"/>
      <c r="O37" s="71"/>
      <c r="P37" s="68">
        <f t="shared" si="16"/>
        <v>0</v>
      </c>
      <c r="Q37" s="85"/>
      <c r="R37" s="86"/>
      <c r="S37" s="86"/>
      <c r="T37" s="87">
        <f t="shared" si="17"/>
        <v>0</v>
      </c>
      <c r="U37" s="107"/>
      <c r="V37" s="71"/>
      <c r="W37" s="71"/>
      <c r="X37" s="68">
        <f t="shared" si="18"/>
        <v>0</v>
      </c>
    </row>
    <row r="38" spans="1:24" s="117" customFormat="1" ht="75" x14ac:dyDescent="0.25">
      <c r="A38" s="302"/>
      <c r="B38" s="302"/>
      <c r="C38" s="70"/>
      <c r="D38" s="71"/>
      <c r="E38" s="71"/>
      <c r="F38" s="71"/>
      <c r="G38" s="68">
        <f t="shared" si="3"/>
        <v>0</v>
      </c>
      <c r="H38" s="85" t="s">
        <v>171</v>
      </c>
      <c r="I38" s="114">
        <f>Prices!$D$8</f>
        <v>4620</v>
      </c>
      <c r="J38" s="86">
        <v>2</v>
      </c>
      <c r="K38" s="86">
        <v>1</v>
      </c>
      <c r="L38" s="87">
        <f t="shared" si="2"/>
        <v>9240</v>
      </c>
      <c r="M38" s="70"/>
      <c r="N38" s="71"/>
      <c r="O38" s="71"/>
      <c r="P38" s="68"/>
      <c r="Q38" s="85"/>
      <c r="R38" s="86"/>
      <c r="S38" s="86"/>
      <c r="T38" s="87"/>
      <c r="U38" s="107"/>
      <c r="V38" s="71"/>
      <c r="W38" s="71"/>
      <c r="X38" s="68"/>
    </row>
    <row r="39" spans="1:24" s="117" customFormat="1" ht="15.75" customHeight="1" x14ac:dyDescent="0.25">
      <c r="A39" s="302"/>
      <c r="B39" s="302"/>
      <c r="C39" s="70"/>
      <c r="D39" s="71"/>
      <c r="E39" s="71"/>
      <c r="F39" s="71"/>
      <c r="G39" s="68">
        <f t="shared" si="3"/>
        <v>0</v>
      </c>
      <c r="H39" s="85"/>
      <c r="I39" s="86"/>
      <c r="J39" s="86"/>
      <c r="K39" s="86"/>
      <c r="L39" s="87">
        <f t="shared" si="2"/>
        <v>0</v>
      </c>
      <c r="M39" s="70"/>
      <c r="N39" s="71"/>
      <c r="O39" s="71"/>
      <c r="P39" s="68"/>
      <c r="Q39" s="85"/>
      <c r="R39" s="86"/>
      <c r="S39" s="86"/>
      <c r="T39" s="87"/>
      <c r="U39" s="107"/>
      <c r="V39" s="71"/>
      <c r="W39" s="71"/>
      <c r="X39" s="68"/>
    </row>
    <row r="40" spans="1:24" s="117" customFormat="1" x14ac:dyDescent="0.25">
      <c r="A40" s="301" t="s">
        <v>291</v>
      </c>
      <c r="B40" s="303">
        <f>SUM(G40:G43)+SUM(L40:L43)+SUM(P40:P43)+SUM(T40:T43)+SUM(X40:X43)</f>
        <v>135960</v>
      </c>
      <c r="C40" s="70"/>
      <c r="D40" s="71"/>
      <c r="E40" s="71"/>
      <c r="F40" s="71"/>
      <c r="G40" s="68">
        <f t="shared" si="3"/>
        <v>0</v>
      </c>
      <c r="H40" s="112"/>
      <c r="I40" s="86"/>
      <c r="J40" s="86"/>
      <c r="K40" s="86"/>
      <c r="L40" s="87">
        <f t="shared" si="2"/>
        <v>0</v>
      </c>
      <c r="M40" s="70"/>
      <c r="N40" s="71"/>
      <c r="O40" s="71"/>
      <c r="P40" s="68">
        <f t="shared" si="16"/>
        <v>0</v>
      </c>
      <c r="Q40" s="85"/>
      <c r="R40" s="86"/>
      <c r="S40" s="86"/>
      <c r="T40" s="87">
        <f t="shared" si="17"/>
        <v>0</v>
      </c>
      <c r="U40" s="107"/>
      <c r="V40" s="71"/>
      <c r="W40" s="71"/>
      <c r="X40" s="68">
        <f t="shared" si="18"/>
        <v>0</v>
      </c>
    </row>
    <row r="41" spans="1:24" s="117" customFormat="1" ht="135" x14ac:dyDescent="0.25">
      <c r="A41" s="302"/>
      <c r="B41" s="302"/>
      <c r="C41" s="70"/>
      <c r="D41" s="71"/>
      <c r="E41" s="71"/>
      <c r="F41" s="71"/>
      <c r="G41" s="68">
        <f t="shared" si="3"/>
        <v>0</v>
      </c>
      <c r="H41" s="85" t="s">
        <v>237</v>
      </c>
      <c r="I41" s="86">
        <f>Prices!D$2</f>
        <v>16500</v>
      </c>
      <c r="J41" s="86">
        <v>6</v>
      </c>
      <c r="K41" s="114">
        <v>1</v>
      </c>
      <c r="L41" s="87">
        <f t="shared" si="2"/>
        <v>99000</v>
      </c>
      <c r="M41" s="70"/>
      <c r="N41" s="71"/>
      <c r="O41" s="71"/>
      <c r="P41" s="68">
        <f t="shared" si="16"/>
        <v>0</v>
      </c>
      <c r="Q41" s="85"/>
      <c r="R41" s="86"/>
      <c r="S41" s="86"/>
      <c r="T41" s="87">
        <f t="shared" si="17"/>
        <v>0</v>
      </c>
      <c r="U41" s="107"/>
      <c r="V41" s="71"/>
      <c r="W41" s="71"/>
      <c r="X41" s="68">
        <f t="shared" si="18"/>
        <v>0</v>
      </c>
    </row>
    <row r="42" spans="1:24" s="117" customFormat="1" ht="75" x14ac:dyDescent="0.25">
      <c r="A42" s="302"/>
      <c r="B42" s="302"/>
      <c r="C42" s="70"/>
      <c r="D42" s="71"/>
      <c r="E42" s="71"/>
      <c r="F42" s="71"/>
      <c r="G42" s="68">
        <f t="shared" si="3"/>
        <v>0</v>
      </c>
      <c r="H42" s="85" t="s">
        <v>195</v>
      </c>
      <c r="I42" s="86">
        <f>Prices!$D$8</f>
        <v>4620</v>
      </c>
      <c r="J42" s="86">
        <v>8</v>
      </c>
      <c r="K42" s="86">
        <v>1</v>
      </c>
      <c r="L42" s="87">
        <f t="shared" si="2"/>
        <v>36960</v>
      </c>
      <c r="M42" s="70"/>
      <c r="N42" s="71"/>
      <c r="O42" s="71"/>
      <c r="P42" s="68">
        <f t="shared" si="16"/>
        <v>0</v>
      </c>
      <c r="Q42" s="85"/>
      <c r="R42" s="86"/>
      <c r="S42" s="86"/>
      <c r="T42" s="87">
        <f t="shared" si="17"/>
        <v>0</v>
      </c>
      <c r="U42" s="107"/>
      <c r="V42" s="71"/>
      <c r="W42" s="71"/>
      <c r="X42" s="68">
        <f t="shared" si="18"/>
        <v>0</v>
      </c>
    </row>
    <row r="43" spans="1:24" s="117" customFormat="1" x14ac:dyDescent="0.25">
      <c r="A43" s="302"/>
      <c r="B43" s="302"/>
      <c r="C43" s="70"/>
      <c r="D43" s="71"/>
      <c r="E43" s="71"/>
      <c r="F43" s="71"/>
      <c r="G43" s="68">
        <f t="shared" si="3"/>
        <v>0</v>
      </c>
      <c r="H43" s="164"/>
      <c r="I43" s="164"/>
      <c r="J43" s="164"/>
      <c r="K43" s="164"/>
      <c r="L43" s="87">
        <f t="shared" si="2"/>
        <v>0</v>
      </c>
      <c r="M43" s="70"/>
      <c r="N43" s="71"/>
      <c r="O43" s="71"/>
      <c r="P43" s="68">
        <f t="shared" si="16"/>
        <v>0</v>
      </c>
      <c r="Q43" s="85"/>
      <c r="R43" s="86"/>
      <c r="S43" s="86"/>
      <c r="T43" s="87">
        <f t="shared" si="17"/>
        <v>0</v>
      </c>
      <c r="U43" s="107"/>
      <c r="V43" s="71"/>
      <c r="W43" s="71"/>
      <c r="X43" s="68">
        <f t="shared" si="18"/>
        <v>0</v>
      </c>
    </row>
    <row r="44" spans="1:24" s="117" customFormat="1" ht="17.100000000000001" customHeight="1" x14ac:dyDescent="0.25">
      <c r="A44" s="304" t="s">
        <v>149</v>
      </c>
      <c r="B44" s="305"/>
      <c r="C44" s="305"/>
      <c r="D44" s="305"/>
      <c r="E44" s="305"/>
      <c r="F44" s="305"/>
      <c r="G44" s="305"/>
      <c r="H44" s="305"/>
      <c r="I44" s="305"/>
      <c r="J44" s="305"/>
      <c r="K44" s="305"/>
      <c r="L44" s="305"/>
      <c r="M44" s="305"/>
      <c r="N44" s="305"/>
      <c r="O44" s="305"/>
      <c r="P44" s="305"/>
      <c r="Q44" s="305"/>
      <c r="R44" s="305"/>
      <c r="S44" s="305"/>
      <c r="T44" s="305"/>
      <c r="U44" s="305"/>
      <c r="V44" s="305"/>
      <c r="W44" s="305"/>
      <c r="X44" s="305"/>
    </row>
    <row r="45" spans="1:24" s="117" customFormat="1" ht="135" x14ac:dyDescent="0.25">
      <c r="A45" s="301" t="s">
        <v>161</v>
      </c>
      <c r="B45" s="303">
        <f>SUM(G45:G49)+SUM(L45:L49)+SUM(P45:P49)+SUM(T45:T49)+SUM(X45:X49)</f>
        <v>272540</v>
      </c>
      <c r="C45" s="70" t="s">
        <v>179</v>
      </c>
      <c r="D45" s="71">
        <f>Prices!D$2</f>
        <v>16500</v>
      </c>
      <c r="E45" s="71">
        <v>5</v>
      </c>
      <c r="F45" s="71">
        <v>1</v>
      </c>
      <c r="G45" s="68">
        <f t="shared" ref="G45:G60" si="19">D45*E45*F45</f>
        <v>82500</v>
      </c>
      <c r="H45" s="124"/>
      <c r="I45" s="86"/>
      <c r="J45" s="86"/>
      <c r="K45" s="86"/>
      <c r="L45" s="87">
        <f t="shared" si="2"/>
        <v>0</v>
      </c>
      <c r="M45" s="70" t="s">
        <v>277</v>
      </c>
      <c r="N45" s="71">
        <v>20000</v>
      </c>
      <c r="O45" s="71">
        <v>5</v>
      </c>
      <c r="P45" s="68">
        <f t="shared" si="7"/>
        <v>100000</v>
      </c>
      <c r="Q45" s="85"/>
      <c r="R45" s="86"/>
      <c r="S45" s="86"/>
      <c r="T45" s="87">
        <f t="shared" si="8"/>
        <v>0</v>
      </c>
      <c r="U45" s="107"/>
      <c r="V45" s="71"/>
      <c r="W45" s="71"/>
      <c r="X45" s="68">
        <f t="shared" si="9"/>
        <v>0</v>
      </c>
    </row>
    <row r="46" spans="1:24" s="117" customFormat="1" ht="45" x14ac:dyDescent="0.25">
      <c r="A46" s="302"/>
      <c r="B46" s="302"/>
      <c r="C46" s="70"/>
      <c r="D46" s="71"/>
      <c r="E46" s="71"/>
      <c r="F46" s="71"/>
      <c r="G46" s="68">
        <f t="shared" si="19"/>
        <v>0</v>
      </c>
      <c r="H46" s="85" t="s">
        <v>196</v>
      </c>
      <c r="I46" s="86">
        <v>50000</v>
      </c>
      <c r="J46" s="86">
        <v>1</v>
      </c>
      <c r="K46" s="86">
        <v>1</v>
      </c>
      <c r="L46" s="87">
        <f t="shared" si="2"/>
        <v>50000</v>
      </c>
      <c r="M46" s="70"/>
      <c r="N46" s="71"/>
      <c r="O46" s="71"/>
      <c r="P46" s="68">
        <f t="shared" ref="P46" si="20">N46*O46</f>
        <v>0</v>
      </c>
      <c r="Q46" s="85"/>
      <c r="R46" s="86"/>
      <c r="S46" s="86"/>
      <c r="T46" s="87">
        <f t="shared" ref="T46" si="21">R46*S46</f>
        <v>0</v>
      </c>
      <c r="U46" s="107"/>
      <c r="V46" s="71"/>
      <c r="W46" s="71"/>
      <c r="X46" s="68">
        <f t="shared" ref="X46" si="22">V46*W46</f>
        <v>0</v>
      </c>
    </row>
    <row r="47" spans="1:24" s="117" customFormat="1" ht="75" x14ac:dyDescent="0.25">
      <c r="A47" s="302"/>
      <c r="B47" s="302"/>
      <c r="C47" s="70" t="s">
        <v>180</v>
      </c>
      <c r="D47" s="71">
        <f>Prices!B$3</f>
        <v>3080</v>
      </c>
      <c r="E47" s="71">
        <v>4</v>
      </c>
      <c r="F47" s="71">
        <v>1</v>
      </c>
      <c r="G47" s="68">
        <f t="shared" si="19"/>
        <v>12320</v>
      </c>
      <c r="H47" s="85"/>
      <c r="I47" s="86"/>
      <c r="J47" s="86"/>
      <c r="K47" s="86"/>
      <c r="L47" s="87">
        <f t="shared" si="2"/>
        <v>0</v>
      </c>
      <c r="M47" s="70"/>
      <c r="N47" s="71"/>
      <c r="O47" s="71"/>
      <c r="P47" s="68"/>
      <c r="Q47" s="85"/>
      <c r="R47" s="86"/>
      <c r="S47" s="86"/>
      <c r="T47" s="87"/>
      <c r="U47" s="107"/>
      <c r="V47" s="71"/>
      <c r="W47" s="71"/>
      <c r="X47" s="68"/>
    </row>
    <row r="48" spans="1:24" s="117" customFormat="1" ht="90" x14ac:dyDescent="0.25">
      <c r="A48" s="302"/>
      <c r="B48" s="302"/>
      <c r="C48" s="70"/>
      <c r="D48" s="71"/>
      <c r="E48" s="71"/>
      <c r="F48" s="71"/>
      <c r="G48" s="68">
        <f t="shared" si="19"/>
        <v>0</v>
      </c>
      <c r="H48" s="85" t="s">
        <v>187</v>
      </c>
      <c r="I48" s="114">
        <f>Prices!$D$8</f>
        <v>4620</v>
      </c>
      <c r="J48" s="86">
        <v>6</v>
      </c>
      <c r="K48" s="86">
        <v>1</v>
      </c>
      <c r="L48" s="87">
        <f t="shared" si="2"/>
        <v>27720</v>
      </c>
      <c r="M48" s="70"/>
      <c r="N48" s="71"/>
      <c r="O48" s="71"/>
      <c r="P48" s="68"/>
      <c r="Q48" s="85"/>
      <c r="R48" s="86"/>
      <c r="S48" s="86"/>
      <c r="T48" s="87"/>
      <c r="U48" s="107"/>
      <c r="V48" s="71"/>
      <c r="W48" s="71"/>
      <c r="X48" s="68"/>
    </row>
    <row r="49" spans="1:24" s="117" customFormat="1" ht="15" customHeight="1" x14ac:dyDescent="0.25">
      <c r="A49" s="302"/>
      <c r="B49" s="302"/>
      <c r="C49" s="70"/>
      <c r="D49" s="71"/>
      <c r="E49" s="71"/>
      <c r="F49" s="71"/>
      <c r="G49" s="68">
        <f t="shared" si="19"/>
        <v>0</v>
      </c>
      <c r="H49" s="85"/>
      <c r="I49" s="86"/>
      <c r="J49" s="86"/>
      <c r="K49" s="86"/>
      <c r="L49" s="87">
        <f t="shared" si="2"/>
        <v>0</v>
      </c>
      <c r="M49" s="70"/>
      <c r="N49" s="71"/>
      <c r="O49" s="71"/>
      <c r="P49" s="68">
        <f t="shared" ref="P49" si="23">N49*O49</f>
        <v>0</v>
      </c>
      <c r="Q49" s="85"/>
      <c r="R49" s="86"/>
      <c r="S49" s="86"/>
      <c r="T49" s="87">
        <f t="shared" si="8"/>
        <v>0</v>
      </c>
      <c r="U49" s="107"/>
      <c r="V49" s="71"/>
      <c r="W49" s="71"/>
      <c r="X49" s="68">
        <f t="shared" si="9"/>
        <v>0</v>
      </c>
    </row>
    <row r="50" spans="1:24" s="117" customFormat="1" ht="150" x14ac:dyDescent="0.25">
      <c r="A50" s="301" t="s">
        <v>265</v>
      </c>
      <c r="B50" s="303">
        <f>SUM(G50:G53)+SUM(L50:L53)+SUM(P50:P53)+SUM(T50:T53)+SUM(X50:X53)</f>
        <v>3711900</v>
      </c>
      <c r="C50" s="70" t="s">
        <v>158</v>
      </c>
      <c r="D50" s="71">
        <f>Prices!D$2</f>
        <v>16500</v>
      </c>
      <c r="E50" s="71">
        <v>3</v>
      </c>
      <c r="F50" s="71">
        <v>1</v>
      </c>
      <c r="G50" s="68">
        <f t="shared" si="19"/>
        <v>49500</v>
      </c>
      <c r="H50" s="85"/>
      <c r="I50" s="86"/>
      <c r="J50" s="86"/>
      <c r="K50" s="86"/>
      <c r="L50" s="87">
        <f t="shared" si="2"/>
        <v>0</v>
      </c>
      <c r="M50" s="70" t="s">
        <v>134</v>
      </c>
      <c r="N50" s="71">
        <v>3000000</v>
      </c>
      <c r="O50" s="71">
        <v>1</v>
      </c>
      <c r="P50" s="68">
        <f>N50*O50</f>
        <v>3000000</v>
      </c>
      <c r="Q50" s="85"/>
      <c r="R50" s="86"/>
      <c r="S50" s="86"/>
      <c r="T50" s="87">
        <f t="shared" ref="T50" si="24">R50*S50</f>
        <v>0</v>
      </c>
      <c r="U50" s="107"/>
      <c r="V50" s="71"/>
      <c r="W50" s="71"/>
      <c r="X50" s="68">
        <f t="shared" ref="X50" si="25">V50*W50</f>
        <v>0</v>
      </c>
    </row>
    <row r="51" spans="1:24" s="117" customFormat="1" ht="90" x14ac:dyDescent="0.25">
      <c r="A51" s="301"/>
      <c r="B51" s="302"/>
      <c r="C51" s="156" t="s">
        <v>220</v>
      </c>
      <c r="D51" s="71">
        <f>Prices!B3</f>
        <v>3080</v>
      </c>
      <c r="E51" s="71">
        <v>30</v>
      </c>
      <c r="F51" s="71">
        <v>6</v>
      </c>
      <c r="G51" s="68">
        <f t="shared" si="19"/>
        <v>554400</v>
      </c>
      <c r="H51" s="112" t="s">
        <v>145</v>
      </c>
      <c r="I51" s="114">
        <f>Prices!$D$2</f>
        <v>16500</v>
      </c>
      <c r="J51" s="114">
        <v>2</v>
      </c>
      <c r="K51" s="114">
        <v>1</v>
      </c>
      <c r="L51" s="87">
        <f t="shared" si="2"/>
        <v>33000</v>
      </c>
      <c r="M51" s="70" t="s">
        <v>133</v>
      </c>
      <c r="N51" s="71">
        <v>400000</v>
      </c>
      <c r="O51" s="71">
        <v>0</v>
      </c>
      <c r="P51" s="68">
        <f>N51*O51</f>
        <v>0</v>
      </c>
      <c r="Q51" s="85"/>
      <c r="R51" s="86"/>
      <c r="S51" s="86"/>
      <c r="T51" s="87">
        <f t="shared" si="8"/>
        <v>0</v>
      </c>
      <c r="U51" s="107"/>
      <c r="V51" s="71"/>
      <c r="W51" s="71"/>
      <c r="X51" s="68">
        <f t="shared" si="9"/>
        <v>0</v>
      </c>
    </row>
    <row r="52" spans="1:24" s="117" customFormat="1" ht="150" x14ac:dyDescent="0.25">
      <c r="A52" s="301"/>
      <c r="B52" s="302"/>
      <c r="C52" s="70"/>
      <c r="D52" s="71"/>
      <c r="E52" s="71"/>
      <c r="F52" s="71"/>
      <c r="G52" s="68">
        <f t="shared" si="19"/>
        <v>0</v>
      </c>
      <c r="H52" s="85" t="s">
        <v>197</v>
      </c>
      <c r="I52" s="86">
        <v>75000</v>
      </c>
      <c r="J52" s="86">
        <v>1</v>
      </c>
      <c r="K52" s="86">
        <v>1</v>
      </c>
      <c r="L52" s="87">
        <f t="shared" si="2"/>
        <v>75000</v>
      </c>
      <c r="M52" s="70"/>
      <c r="N52" s="71"/>
      <c r="O52" s="71"/>
      <c r="P52" s="68">
        <f t="shared" ref="P52" si="26">N52*O52</f>
        <v>0</v>
      </c>
      <c r="Q52" s="85"/>
      <c r="R52" s="86"/>
      <c r="S52" s="86"/>
      <c r="T52" s="87">
        <f t="shared" ref="T52" si="27">R52*S52</f>
        <v>0</v>
      </c>
      <c r="U52" s="107"/>
      <c r="V52" s="71"/>
      <c r="W52" s="71"/>
      <c r="X52" s="68">
        <f t="shared" ref="X52" si="28">V52*W52</f>
        <v>0</v>
      </c>
    </row>
    <row r="53" spans="1:24" s="117" customFormat="1" ht="15" customHeight="1" x14ac:dyDescent="0.25">
      <c r="A53" s="301"/>
      <c r="B53" s="302"/>
      <c r="C53" s="70"/>
      <c r="D53" s="71"/>
      <c r="E53" s="71"/>
      <c r="F53" s="71"/>
      <c r="G53" s="68">
        <f t="shared" si="19"/>
        <v>0</v>
      </c>
      <c r="H53" s="85"/>
      <c r="I53" s="86"/>
      <c r="J53" s="86"/>
      <c r="K53" s="86"/>
      <c r="L53" s="87">
        <f t="shared" si="2"/>
        <v>0</v>
      </c>
      <c r="M53" s="70"/>
      <c r="N53" s="71"/>
      <c r="O53" s="71"/>
      <c r="P53" s="68"/>
      <c r="Q53" s="85"/>
      <c r="R53" s="86"/>
      <c r="S53" s="86"/>
      <c r="T53" s="87">
        <f t="shared" si="8"/>
        <v>0</v>
      </c>
      <c r="U53" s="107"/>
      <c r="V53" s="71"/>
      <c r="W53" s="71"/>
      <c r="X53" s="68">
        <f t="shared" si="9"/>
        <v>0</v>
      </c>
    </row>
    <row r="54" spans="1:24" s="117" customFormat="1" ht="15" customHeight="1" x14ac:dyDescent="0.25">
      <c r="A54" s="301" t="s">
        <v>292</v>
      </c>
      <c r="B54" s="303">
        <f>SUM(G54:G56)+SUM(L54:L56)+SUM(P54:P56)+SUM(T54:T56)+SUM(X54:X56)</f>
        <v>165000</v>
      </c>
      <c r="C54" s="70"/>
      <c r="D54" s="71"/>
      <c r="E54" s="71"/>
      <c r="F54" s="71"/>
      <c r="G54" s="68">
        <f t="shared" si="19"/>
        <v>0</v>
      </c>
      <c r="H54" s="85"/>
      <c r="I54" s="86"/>
      <c r="J54" s="86"/>
      <c r="K54" s="86"/>
      <c r="L54" s="87">
        <f t="shared" si="2"/>
        <v>0</v>
      </c>
      <c r="M54" s="70"/>
      <c r="N54" s="71"/>
      <c r="O54" s="71"/>
      <c r="P54" s="68">
        <f t="shared" si="7"/>
        <v>0</v>
      </c>
      <c r="Q54" s="85"/>
      <c r="R54" s="86"/>
      <c r="S54" s="86"/>
      <c r="T54" s="87">
        <f t="shared" si="8"/>
        <v>0</v>
      </c>
      <c r="U54" s="107"/>
      <c r="V54" s="71"/>
      <c r="W54" s="71"/>
      <c r="X54" s="68">
        <f t="shared" si="9"/>
        <v>0</v>
      </c>
    </row>
    <row r="55" spans="1:24" s="117" customFormat="1" ht="178.5" customHeight="1" x14ac:dyDescent="0.25">
      <c r="A55" s="327"/>
      <c r="B55" s="302"/>
      <c r="C55" s="70" t="s">
        <v>199</v>
      </c>
      <c r="D55" s="71">
        <f>Prices!D2</f>
        <v>16500</v>
      </c>
      <c r="E55" s="71">
        <v>10</v>
      </c>
      <c r="F55" s="71">
        <v>1</v>
      </c>
      <c r="G55" s="68">
        <f t="shared" si="19"/>
        <v>165000</v>
      </c>
      <c r="H55" s="85"/>
      <c r="I55" s="86"/>
      <c r="J55" s="86"/>
      <c r="K55" s="86"/>
      <c r="L55" s="87">
        <f t="shared" si="2"/>
        <v>0</v>
      </c>
      <c r="M55" s="70"/>
      <c r="N55" s="71"/>
      <c r="O55" s="71"/>
      <c r="P55" s="68">
        <f t="shared" si="7"/>
        <v>0</v>
      </c>
      <c r="Q55" s="85"/>
      <c r="R55" s="86"/>
      <c r="S55" s="86"/>
      <c r="T55" s="87">
        <f t="shared" si="8"/>
        <v>0</v>
      </c>
      <c r="U55" s="107"/>
      <c r="V55" s="71"/>
      <c r="W55" s="71"/>
      <c r="X55" s="68">
        <f t="shared" si="9"/>
        <v>0</v>
      </c>
    </row>
    <row r="56" spans="1:24" s="117" customFormat="1" ht="23.25" customHeight="1" x14ac:dyDescent="0.25">
      <c r="A56" s="327"/>
      <c r="B56" s="302"/>
      <c r="C56" s="70"/>
      <c r="D56" s="71"/>
      <c r="E56" s="71"/>
      <c r="F56" s="71"/>
      <c r="G56" s="68">
        <f t="shared" si="19"/>
        <v>0</v>
      </c>
      <c r="H56" s="85"/>
      <c r="I56" s="86"/>
      <c r="J56" s="86"/>
      <c r="K56" s="86"/>
      <c r="L56" s="87">
        <f t="shared" si="2"/>
        <v>0</v>
      </c>
      <c r="M56" s="70"/>
      <c r="N56" s="71"/>
      <c r="O56" s="71"/>
      <c r="P56" s="68"/>
      <c r="Q56" s="85"/>
      <c r="R56" s="86"/>
      <c r="S56" s="86"/>
      <c r="T56" s="87"/>
      <c r="U56" s="107"/>
      <c r="V56" s="71"/>
      <c r="W56" s="71"/>
      <c r="X56" s="68"/>
    </row>
    <row r="57" spans="1:24" s="117" customFormat="1" ht="15" customHeight="1" x14ac:dyDescent="0.25">
      <c r="A57" s="301" t="s">
        <v>162</v>
      </c>
      <c r="B57" s="303">
        <f>SUM(G57:G60)+SUM(L57:L60)+SUM(P57:P60)+SUM(T57:T60)+SUM(X57:X60)</f>
        <v>490600</v>
      </c>
      <c r="C57" s="70"/>
      <c r="D57" s="71"/>
      <c r="E57" s="71"/>
      <c r="F57" s="71"/>
      <c r="G57" s="68">
        <f t="shared" si="19"/>
        <v>0</v>
      </c>
      <c r="H57" s="85"/>
      <c r="I57" s="86"/>
      <c r="J57" s="86"/>
      <c r="K57" s="86"/>
      <c r="L57" s="68">
        <f t="shared" si="2"/>
        <v>0</v>
      </c>
      <c r="M57" s="70"/>
      <c r="N57" s="71"/>
      <c r="O57" s="71"/>
      <c r="P57" s="68">
        <f t="shared" ref="P57" si="29">N57*O57</f>
        <v>0</v>
      </c>
      <c r="Q57" s="85"/>
      <c r="R57" s="86"/>
      <c r="S57" s="86"/>
      <c r="T57" s="87">
        <f t="shared" ref="T57" si="30">R57*S57</f>
        <v>0</v>
      </c>
      <c r="U57" s="107"/>
      <c r="V57" s="71"/>
      <c r="W57" s="71"/>
      <c r="X57" s="68">
        <f t="shared" ref="X57" si="31">V57*W57</f>
        <v>0</v>
      </c>
    </row>
    <row r="58" spans="1:24" s="117" customFormat="1" ht="45" x14ac:dyDescent="0.25">
      <c r="A58" s="302"/>
      <c r="B58" s="302"/>
      <c r="C58" s="70" t="s">
        <v>146</v>
      </c>
      <c r="D58" s="71">
        <f>Prices!D$2</f>
        <v>16500</v>
      </c>
      <c r="E58" s="71">
        <v>4</v>
      </c>
      <c r="F58" s="71">
        <v>1</v>
      </c>
      <c r="G58" s="68">
        <f t="shared" si="19"/>
        <v>66000</v>
      </c>
      <c r="H58" s="85" t="s">
        <v>238</v>
      </c>
      <c r="I58" s="86">
        <v>55000</v>
      </c>
      <c r="J58" s="86">
        <v>1</v>
      </c>
      <c r="K58" s="86">
        <v>1</v>
      </c>
      <c r="L58" s="87">
        <f t="shared" si="2"/>
        <v>55000</v>
      </c>
      <c r="M58" s="70"/>
      <c r="N58" s="71"/>
      <c r="O58" s="71"/>
      <c r="P58" s="68">
        <f t="shared" ref="P58" si="32">N58*O58</f>
        <v>0</v>
      </c>
      <c r="Q58" s="85"/>
      <c r="R58" s="86"/>
      <c r="S58" s="86"/>
      <c r="T58" s="87">
        <f t="shared" ref="T58" si="33">R58*S58</f>
        <v>0</v>
      </c>
      <c r="U58" s="107"/>
      <c r="V58" s="71"/>
      <c r="W58" s="71"/>
      <c r="X58" s="68">
        <f t="shared" ref="X58" si="34">V58*W58</f>
        <v>0</v>
      </c>
    </row>
    <row r="59" spans="1:24" s="117" customFormat="1" ht="30" x14ac:dyDescent="0.25">
      <c r="A59" s="302"/>
      <c r="B59" s="302"/>
      <c r="C59" s="156" t="s">
        <v>223</v>
      </c>
      <c r="D59" s="71">
        <f>Prices!B3</f>
        <v>3080</v>
      </c>
      <c r="E59" s="71">
        <v>30</v>
      </c>
      <c r="F59" s="71">
        <v>4</v>
      </c>
      <c r="G59" s="68">
        <f t="shared" si="19"/>
        <v>369600</v>
      </c>
      <c r="H59" s="85"/>
      <c r="I59" s="86"/>
      <c r="J59" s="86"/>
      <c r="K59" s="86"/>
      <c r="L59" s="87">
        <f t="shared" si="2"/>
        <v>0</v>
      </c>
      <c r="M59" s="70"/>
      <c r="N59" s="71"/>
      <c r="O59" s="71"/>
      <c r="P59" s="68">
        <f t="shared" si="7"/>
        <v>0</v>
      </c>
      <c r="Q59" s="85"/>
      <c r="R59" s="86"/>
      <c r="S59" s="86"/>
      <c r="T59" s="87">
        <f t="shared" si="8"/>
        <v>0</v>
      </c>
      <c r="U59" s="107"/>
      <c r="V59" s="71"/>
      <c r="W59" s="71"/>
      <c r="X59" s="68">
        <f t="shared" si="9"/>
        <v>0</v>
      </c>
    </row>
    <row r="60" spans="1:24" s="117" customFormat="1" ht="15" customHeight="1" x14ac:dyDescent="0.25">
      <c r="A60" s="302"/>
      <c r="B60" s="302"/>
      <c r="C60" s="70"/>
      <c r="D60" s="71"/>
      <c r="E60" s="71"/>
      <c r="F60" s="71"/>
      <c r="G60" s="68">
        <f t="shared" si="19"/>
        <v>0</v>
      </c>
      <c r="H60" s="85"/>
      <c r="I60" s="86"/>
      <c r="J60" s="86"/>
      <c r="K60" s="86"/>
      <c r="L60" s="87">
        <f t="shared" si="2"/>
        <v>0</v>
      </c>
      <c r="M60" s="70"/>
      <c r="N60" s="71"/>
      <c r="O60" s="71"/>
      <c r="P60" s="68">
        <f t="shared" si="7"/>
        <v>0</v>
      </c>
      <c r="Q60" s="85"/>
      <c r="R60" s="86"/>
      <c r="S60" s="86"/>
      <c r="T60" s="87">
        <f t="shared" si="8"/>
        <v>0</v>
      </c>
      <c r="U60" s="107"/>
      <c r="V60" s="71"/>
      <c r="W60" s="71"/>
      <c r="X60" s="68">
        <f t="shared" si="9"/>
        <v>0</v>
      </c>
    </row>
    <row r="61" spans="1:24" s="117" customFormat="1" ht="15.75" x14ac:dyDescent="0.25">
      <c r="A61" s="304" t="s">
        <v>150</v>
      </c>
      <c r="B61" s="305"/>
      <c r="C61" s="305"/>
      <c r="D61" s="305"/>
      <c r="E61" s="305"/>
      <c r="F61" s="305"/>
      <c r="G61" s="305"/>
      <c r="H61" s="305"/>
      <c r="I61" s="305"/>
      <c r="J61" s="305"/>
      <c r="K61" s="305"/>
      <c r="L61" s="305"/>
      <c r="M61" s="305"/>
      <c r="N61" s="305"/>
      <c r="O61" s="305"/>
      <c r="P61" s="305"/>
      <c r="Q61" s="305"/>
      <c r="R61" s="305"/>
      <c r="S61" s="305"/>
      <c r="T61" s="305"/>
      <c r="U61" s="305"/>
      <c r="V61" s="305"/>
      <c r="W61" s="305"/>
      <c r="X61" s="305"/>
    </row>
    <row r="62" spans="1:24" s="117" customFormat="1" ht="60" x14ac:dyDescent="0.25">
      <c r="A62" s="301" t="s">
        <v>266</v>
      </c>
      <c r="B62" s="303">
        <f>SUM(G62:G69)++SUM(L62:L69)+SUM(P62:P69)+SUM(T62:T69)+SUM(X62:X69)</f>
        <v>7298660</v>
      </c>
      <c r="C62" s="156" t="s">
        <v>222</v>
      </c>
      <c r="D62" s="71">
        <f>Prices!B3</f>
        <v>3080</v>
      </c>
      <c r="E62" s="71">
        <v>30</v>
      </c>
      <c r="F62" s="71">
        <v>2</v>
      </c>
      <c r="G62" s="68">
        <f t="shared" ref="G62:G80" si="35">D62*E62*F62</f>
        <v>184800</v>
      </c>
      <c r="H62" s="111"/>
      <c r="I62" s="86"/>
      <c r="J62" s="86"/>
      <c r="K62" s="86"/>
      <c r="L62" s="87">
        <f t="shared" si="2"/>
        <v>0</v>
      </c>
      <c r="M62" s="125" t="s">
        <v>278</v>
      </c>
      <c r="N62" s="71">
        <v>5000000</v>
      </c>
      <c r="O62" s="71">
        <v>1</v>
      </c>
      <c r="P62" s="68">
        <f>N62*O62</f>
        <v>5000000</v>
      </c>
      <c r="Q62" s="85"/>
      <c r="R62" s="86"/>
      <c r="S62" s="86"/>
      <c r="T62" s="87">
        <f t="shared" ref="T62" si="36">R62*S62</f>
        <v>0</v>
      </c>
      <c r="U62" s="107"/>
      <c r="V62" s="71"/>
      <c r="W62" s="71"/>
      <c r="X62" s="68">
        <f t="shared" ref="X62" si="37">V62*W62</f>
        <v>0</v>
      </c>
    </row>
    <row r="63" spans="1:24" s="117" customFormat="1" ht="120" x14ac:dyDescent="0.25">
      <c r="A63" s="302"/>
      <c r="B63" s="302"/>
      <c r="C63" s="70"/>
      <c r="D63" s="71"/>
      <c r="E63" s="71"/>
      <c r="F63" s="71"/>
      <c r="G63" s="68">
        <f t="shared" si="35"/>
        <v>0</v>
      </c>
      <c r="H63" s="85"/>
      <c r="I63" s="86"/>
      <c r="J63" s="86"/>
      <c r="K63" s="86"/>
      <c r="L63" s="87">
        <f t="shared" si="2"/>
        <v>0</v>
      </c>
      <c r="M63" s="126" t="s">
        <v>306</v>
      </c>
      <c r="N63" s="71">
        <v>1100000</v>
      </c>
      <c r="O63" s="71">
        <v>1</v>
      </c>
      <c r="P63" s="68">
        <f>N63*O63</f>
        <v>1100000</v>
      </c>
      <c r="Q63" s="85"/>
      <c r="R63" s="86"/>
      <c r="S63" s="86"/>
      <c r="T63" s="87">
        <f t="shared" si="8"/>
        <v>0</v>
      </c>
      <c r="U63" s="107"/>
      <c r="V63" s="71"/>
      <c r="W63" s="71"/>
      <c r="X63" s="68">
        <f t="shared" si="9"/>
        <v>0</v>
      </c>
    </row>
    <row r="64" spans="1:24" s="117" customFormat="1" ht="75" x14ac:dyDescent="0.25">
      <c r="A64" s="302"/>
      <c r="B64" s="302"/>
      <c r="C64" s="70"/>
      <c r="D64" s="71"/>
      <c r="E64" s="71"/>
      <c r="F64" s="71"/>
      <c r="G64" s="68">
        <f t="shared" si="35"/>
        <v>0</v>
      </c>
      <c r="H64" s="85"/>
      <c r="I64" s="86"/>
      <c r="J64" s="86"/>
      <c r="K64" s="86"/>
      <c r="L64" s="87">
        <f t="shared" si="2"/>
        <v>0</v>
      </c>
      <c r="M64" s="70" t="s">
        <v>307</v>
      </c>
      <c r="N64" s="71">
        <v>1000000</v>
      </c>
      <c r="O64" s="71">
        <v>1</v>
      </c>
      <c r="P64" s="68">
        <f>N64*O64</f>
        <v>1000000</v>
      </c>
      <c r="Q64" s="111"/>
      <c r="R64" s="86"/>
      <c r="S64" s="86"/>
      <c r="T64" s="87">
        <f t="shared" si="8"/>
        <v>0</v>
      </c>
      <c r="U64" s="70"/>
      <c r="V64" s="71"/>
      <c r="W64" s="71"/>
      <c r="X64" s="68">
        <f t="shared" si="9"/>
        <v>0</v>
      </c>
    </row>
    <row r="65" spans="1:24" s="117" customFormat="1" ht="105" x14ac:dyDescent="0.25">
      <c r="A65" s="302"/>
      <c r="B65" s="302"/>
      <c r="C65" s="70"/>
      <c r="D65" s="71"/>
      <c r="E65" s="71"/>
      <c r="F65" s="71"/>
      <c r="G65" s="68">
        <f t="shared" si="35"/>
        <v>0</v>
      </c>
      <c r="H65" s="85"/>
      <c r="I65" s="86"/>
      <c r="J65" s="86"/>
      <c r="K65" s="86"/>
      <c r="L65" s="87">
        <f t="shared" si="2"/>
        <v>0</v>
      </c>
      <c r="M65" s="70" t="s">
        <v>178</v>
      </c>
      <c r="N65" s="71">
        <f>Prices!D$8</f>
        <v>4620</v>
      </c>
      <c r="O65" s="71">
        <v>3</v>
      </c>
      <c r="P65" s="68">
        <f>N65*O65</f>
        <v>13860</v>
      </c>
      <c r="Q65" s="111"/>
      <c r="R65" s="86"/>
      <c r="S65" s="86"/>
      <c r="T65" s="87">
        <f t="shared" si="8"/>
        <v>0</v>
      </c>
      <c r="U65" s="70"/>
      <c r="V65" s="71"/>
      <c r="W65" s="71"/>
      <c r="X65" s="68">
        <f t="shared" si="9"/>
        <v>0</v>
      </c>
    </row>
    <row r="66" spans="1:24" s="117" customFormat="1" x14ac:dyDescent="0.25">
      <c r="A66" s="302"/>
      <c r="B66" s="302"/>
      <c r="C66" s="70"/>
      <c r="D66" s="71"/>
      <c r="E66" s="71"/>
      <c r="F66" s="71"/>
      <c r="G66" s="68">
        <f t="shared" si="35"/>
        <v>0</v>
      </c>
      <c r="H66" s="85"/>
      <c r="I66" s="86"/>
      <c r="J66" s="86"/>
      <c r="K66" s="86"/>
      <c r="L66" s="87">
        <f t="shared" si="2"/>
        <v>0</v>
      </c>
      <c r="M66" s="70"/>
      <c r="N66" s="71"/>
      <c r="O66" s="71"/>
      <c r="P66" s="68">
        <f>N66*O66</f>
        <v>0</v>
      </c>
      <c r="Q66" s="85"/>
      <c r="R66" s="86"/>
      <c r="S66" s="86"/>
      <c r="T66" s="87">
        <f t="shared" ref="T66" si="38">R66*S66</f>
        <v>0</v>
      </c>
      <c r="U66" s="107"/>
      <c r="V66" s="71"/>
      <c r="W66" s="71"/>
      <c r="X66" s="68">
        <f t="shared" ref="X66" si="39">V66*W66</f>
        <v>0</v>
      </c>
    </row>
    <row r="67" spans="1:24" s="117" customFormat="1" x14ac:dyDescent="0.25">
      <c r="A67" s="302"/>
      <c r="B67" s="302"/>
      <c r="C67" s="70"/>
      <c r="D67" s="71"/>
      <c r="E67" s="71"/>
      <c r="F67" s="71"/>
      <c r="G67" s="68">
        <f t="shared" si="35"/>
        <v>0</v>
      </c>
      <c r="H67" s="85"/>
      <c r="I67" s="86"/>
      <c r="J67" s="86"/>
      <c r="K67" s="86"/>
      <c r="L67" s="87">
        <f t="shared" si="2"/>
        <v>0</v>
      </c>
      <c r="M67" s="70"/>
      <c r="N67" s="71"/>
      <c r="O67" s="71"/>
      <c r="P67" s="68">
        <f t="shared" ref="P67:P68" si="40">N67*O67</f>
        <v>0</v>
      </c>
      <c r="Q67" s="85"/>
      <c r="R67" s="86"/>
      <c r="S67" s="86"/>
      <c r="T67" s="87">
        <f t="shared" ref="T67:T68" si="41">R67*S67</f>
        <v>0</v>
      </c>
      <c r="U67" s="107"/>
      <c r="V67" s="71"/>
      <c r="W67" s="71"/>
      <c r="X67" s="68">
        <f t="shared" ref="X67:X68" si="42">V67*W67</f>
        <v>0</v>
      </c>
    </row>
    <row r="68" spans="1:24" s="117" customFormat="1" x14ac:dyDescent="0.25">
      <c r="A68" s="302"/>
      <c r="B68" s="302"/>
      <c r="C68" s="70"/>
      <c r="D68" s="71"/>
      <c r="E68" s="71"/>
      <c r="F68" s="71"/>
      <c r="G68" s="68">
        <f t="shared" si="35"/>
        <v>0</v>
      </c>
      <c r="H68" s="85"/>
      <c r="I68" s="86"/>
      <c r="J68" s="86"/>
      <c r="K68" s="86"/>
      <c r="L68" s="87">
        <f t="shared" si="2"/>
        <v>0</v>
      </c>
      <c r="M68" s="70"/>
      <c r="N68" s="71"/>
      <c r="O68" s="71"/>
      <c r="P68" s="68">
        <f t="shared" si="40"/>
        <v>0</v>
      </c>
      <c r="Q68" s="85"/>
      <c r="R68" s="86"/>
      <c r="S68" s="86"/>
      <c r="T68" s="87">
        <f t="shared" si="41"/>
        <v>0</v>
      </c>
      <c r="U68" s="107"/>
      <c r="V68" s="71"/>
      <c r="W68" s="71"/>
      <c r="X68" s="68">
        <f t="shared" si="42"/>
        <v>0</v>
      </c>
    </row>
    <row r="69" spans="1:24" s="117" customFormat="1" x14ac:dyDescent="0.25">
      <c r="A69" s="302"/>
      <c r="B69" s="302"/>
      <c r="C69" s="70"/>
      <c r="D69" s="71"/>
      <c r="E69" s="71"/>
      <c r="F69" s="71"/>
      <c r="G69" s="68">
        <f t="shared" si="35"/>
        <v>0</v>
      </c>
      <c r="H69" s="85"/>
      <c r="I69" s="86"/>
      <c r="J69" s="86"/>
      <c r="K69" s="86"/>
      <c r="L69" s="87">
        <f t="shared" si="2"/>
        <v>0</v>
      </c>
      <c r="M69" s="70"/>
      <c r="N69" s="71"/>
      <c r="O69" s="71"/>
      <c r="P69" s="68">
        <f t="shared" ref="P69:P72" si="43">N69*O69</f>
        <v>0</v>
      </c>
      <c r="Q69" s="85"/>
      <c r="R69" s="86"/>
      <c r="S69" s="86"/>
      <c r="T69" s="87">
        <f t="shared" ref="T69:T77" si="44">R69*S69</f>
        <v>0</v>
      </c>
      <c r="U69" s="107"/>
      <c r="V69" s="71"/>
      <c r="W69" s="71"/>
      <c r="X69" s="68">
        <f t="shared" ref="X69:X77" si="45">V69*W69</f>
        <v>0</v>
      </c>
    </row>
    <row r="70" spans="1:24" s="117" customFormat="1" ht="135" x14ac:dyDescent="0.25">
      <c r="A70" s="301" t="s">
        <v>293</v>
      </c>
      <c r="B70" s="303">
        <f>SUM(G70:G73)++SUM(L70:L73)+SUM(P70:P73)+SUM(T70:T73)+SUM(X70:X73)</f>
        <v>183980</v>
      </c>
      <c r="C70" s="70"/>
      <c r="D70" s="71"/>
      <c r="E70" s="71"/>
      <c r="F70" s="71"/>
      <c r="G70" s="68">
        <f t="shared" si="35"/>
        <v>0</v>
      </c>
      <c r="H70" s="113" t="s">
        <v>294</v>
      </c>
      <c r="I70" s="114">
        <f>Prices!D$8</f>
        <v>4620</v>
      </c>
      <c r="J70" s="114">
        <v>1</v>
      </c>
      <c r="K70" s="114">
        <v>24</v>
      </c>
      <c r="L70" s="87">
        <f t="shared" si="2"/>
        <v>110880</v>
      </c>
      <c r="M70" s="127"/>
      <c r="N70" s="71"/>
      <c r="O70" s="71"/>
      <c r="P70" s="68">
        <f t="shared" si="43"/>
        <v>0</v>
      </c>
      <c r="Q70" s="85"/>
      <c r="R70" s="86"/>
      <c r="S70" s="86"/>
      <c r="T70" s="87">
        <f t="shared" si="44"/>
        <v>0</v>
      </c>
      <c r="U70" s="107"/>
      <c r="V70" s="71"/>
      <c r="W70" s="71"/>
      <c r="X70" s="68">
        <f t="shared" si="45"/>
        <v>0</v>
      </c>
    </row>
    <row r="71" spans="1:24" s="117" customFormat="1" ht="75" x14ac:dyDescent="0.25">
      <c r="A71" s="301"/>
      <c r="B71" s="303"/>
      <c r="C71" s="70"/>
      <c r="D71" s="71"/>
      <c r="E71" s="71"/>
      <c r="F71" s="71"/>
      <c r="G71" s="68">
        <f t="shared" si="35"/>
        <v>0</v>
      </c>
      <c r="H71" s="85" t="s">
        <v>198</v>
      </c>
      <c r="I71" s="86">
        <v>50000</v>
      </c>
      <c r="J71" s="86">
        <v>1</v>
      </c>
      <c r="K71" s="86">
        <v>1</v>
      </c>
      <c r="L71" s="87">
        <f t="shared" si="2"/>
        <v>50000</v>
      </c>
      <c r="M71" s="70"/>
      <c r="N71" s="71"/>
      <c r="O71" s="71"/>
      <c r="P71" s="68">
        <f t="shared" si="43"/>
        <v>0</v>
      </c>
      <c r="Q71" s="85"/>
      <c r="R71" s="86"/>
      <c r="S71" s="86"/>
      <c r="T71" s="87">
        <f t="shared" si="44"/>
        <v>0</v>
      </c>
      <c r="U71" s="107"/>
      <c r="V71" s="71"/>
      <c r="W71" s="71"/>
      <c r="X71" s="68">
        <f t="shared" si="45"/>
        <v>0</v>
      </c>
    </row>
    <row r="72" spans="1:24" s="117" customFormat="1" ht="75" x14ac:dyDescent="0.25">
      <c r="A72" s="302"/>
      <c r="B72" s="302"/>
      <c r="C72" s="70"/>
      <c r="D72" s="71"/>
      <c r="E72" s="71"/>
      <c r="F72" s="71"/>
      <c r="G72" s="68">
        <f t="shared" si="35"/>
        <v>0</v>
      </c>
      <c r="H72" s="113" t="s">
        <v>188</v>
      </c>
      <c r="I72" s="114">
        <f>Prices!$D$8</f>
        <v>4620</v>
      </c>
      <c r="J72" s="114">
        <v>1</v>
      </c>
      <c r="K72" s="114">
        <v>5</v>
      </c>
      <c r="L72" s="87">
        <f t="shared" ref="L72:L80" si="46">I72*J72*K72</f>
        <v>23100</v>
      </c>
      <c r="M72" s="70"/>
      <c r="N72" s="71"/>
      <c r="O72" s="71"/>
      <c r="P72" s="68">
        <f t="shared" si="43"/>
        <v>0</v>
      </c>
      <c r="Q72" s="111"/>
      <c r="R72" s="86"/>
      <c r="S72" s="86"/>
      <c r="T72" s="87">
        <f t="shared" si="44"/>
        <v>0</v>
      </c>
      <c r="U72" s="70"/>
      <c r="V72" s="71"/>
      <c r="W72" s="71"/>
      <c r="X72" s="68">
        <f t="shared" si="45"/>
        <v>0</v>
      </c>
    </row>
    <row r="73" spans="1:24" s="117" customFormat="1" x14ac:dyDescent="0.25">
      <c r="A73" s="302"/>
      <c r="B73" s="302"/>
      <c r="C73" s="70"/>
      <c r="D73" s="71"/>
      <c r="E73" s="71"/>
      <c r="F73" s="71"/>
      <c r="G73" s="68">
        <f t="shared" si="35"/>
        <v>0</v>
      </c>
      <c r="H73" s="85"/>
      <c r="I73" s="86"/>
      <c r="J73" s="86"/>
      <c r="K73" s="86"/>
      <c r="L73" s="87">
        <f t="shared" si="46"/>
        <v>0</v>
      </c>
      <c r="M73" s="70"/>
      <c r="N73" s="71"/>
      <c r="O73" s="71"/>
      <c r="P73" s="68"/>
      <c r="Q73" s="85"/>
      <c r="R73" s="86"/>
      <c r="S73" s="86"/>
      <c r="T73" s="87">
        <f t="shared" ref="T73" si="47">R73*S73</f>
        <v>0</v>
      </c>
      <c r="U73" s="107"/>
      <c r="V73" s="71"/>
      <c r="W73" s="71"/>
      <c r="X73" s="68"/>
    </row>
    <row r="74" spans="1:24" s="117" customFormat="1" ht="90" x14ac:dyDescent="0.25">
      <c r="A74" s="301" t="s">
        <v>279</v>
      </c>
      <c r="B74" s="303">
        <f>SUM(G74:G80)++SUM(L74:L80)+SUM(P74:P80)+SUM(T74:T80)+SUM(X74:X80)</f>
        <v>7738520</v>
      </c>
      <c r="C74" s="70" t="s">
        <v>139</v>
      </c>
      <c r="D74" s="71">
        <f>Prices!B$3</f>
        <v>3080</v>
      </c>
      <c r="E74" s="71">
        <v>4</v>
      </c>
      <c r="F74" s="71">
        <v>1</v>
      </c>
      <c r="G74" s="68">
        <f t="shared" si="35"/>
        <v>12320</v>
      </c>
      <c r="H74" s="85"/>
      <c r="I74" s="86"/>
      <c r="J74" s="86"/>
      <c r="K74" s="86"/>
      <c r="L74" s="87">
        <f t="shared" si="46"/>
        <v>0</v>
      </c>
      <c r="M74" s="70"/>
      <c r="N74" s="71"/>
      <c r="O74" s="71"/>
      <c r="P74" s="68">
        <f t="shared" ref="P74" si="48">N74*O74</f>
        <v>0</v>
      </c>
      <c r="Q74" s="85"/>
      <c r="R74" s="86"/>
      <c r="S74" s="86"/>
      <c r="T74" s="87">
        <f t="shared" si="44"/>
        <v>0</v>
      </c>
      <c r="U74" s="107" t="s">
        <v>174</v>
      </c>
      <c r="V74" s="71">
        <f>V75*10/100</f>
        <v>1000000</v>
      </c>
      <c r="W74" s="71">
        <v>1</v>
      </c>
      <c r="X74" s="68">
        <v>800000</v>
      </c>
    </row>
    <row r="75" spans="1:24" s="117" customFormat="1" ht="135" x14ac:dyDescent="0.25">
      <c r="A75" s="301"/>
      <c r="B75" s="303"/>
      <c r="C75" s="70"/>
      <c r="D75" s="71"/>
      <c r="E75" s="71"/>
      <c r="F75" s="71"/>
      <c r="G75" s="68">
        <f t="shared" si="35"/>
        <v>0</v>
      </c>
      <c r="H75" s="113" t="s">
        <v>200</v>
      </c>
      <c r="I75" s="114">
        <f>0.05*(4000000+110000)+0.08*(4000000+110000)</f>
        <v>534300</v>
      </c>
      <c r="J75" s="114">
        <v>1</v>
      </c>
      <c r="K75" s="114">
        <v>1</v>
      </c>
      <c r="L75" s="87">
        <f t="shared" si="46"/>
        <v>534300</v>
      </c>
      <c r="M75" s="70"/>
      <c r="N75" s="71"/>
      <c r="O75" s="71"/>
      <c r="P75" s="68">
        <f>N75*O75</f>
        <v>0</v>
      </c>
      <c r="Q75" s="85"/>
      <c r="R75" s="86"/>
      <c r="S75" s="86"/>
      <c r="T75" s="87"/>
      <c r="U75" s="107" t="s">
        <v>189</v>
      </c>
      <c r="V75" s="71">
        <v>10000000</v>
      </c>
      <c r="W75" s="71">
        <f>(1000*5*1000)+(2200*50)+500000</f>
        <v>5610000</v>
      </c>
      <c r="X75" s="68">
        <f>W75</f>
        <v>5610000</v>
      </c>
    </row>
    <row r="76" spans="1:24" s="117" customFormat="1" ht="75" x14ac:dyDescent="0.25">
      <c r="A76" s="301"/>
      <c r="B76" s="303"/>
      <c r="C76" s="70" t="s">
        <v>176</v>
      </c>
      <c r="D76" s="71">
        <f>Prices!B$3</f>
        <v>3080</v>
      </c>
      <c r="E76" s="71">
        <v>10</v>
      </c>
      <c r="F76" s="71">
        <v>1</v>
      </c>
      <c r="G76" s="68">
        <f t="shared" si="35"/>
        <v>30800</v>
      </c>
      <c r="H76" s="85"/>
      <c r="I76" s="86"/>
      <c r="J76" s="86"/>
      <c r="K76" s="86"/>
      <c r="L76" s="87">
        <f t="shared" si="46"/>
        <v>0</v>
      </c>
      <c r="M76" s="70" t="s">
        <v>190</v>
      </c>
      <c r="N76" s="71">
        <v>55000</v>
      </c>
      <c r="O76" s="71">
        <v>1</v>
      </c>
      <c r="P76" s="68">
        <f>N76*O76</f>
        <v>55000</v>
      </c>
      <c r="Q76" s="85"/>
      <c r="R76" s="86"/>
      <c r="S76" s="86"/>
      <c r="T76" s="87">
        <f t="shared" ref="T76" si="49">R76*S76</f>
        <v>0</v>
      </c>
      <c r="U76" s="107"/>
      <c r="V76" s="71"/>
      <c r="W76" s="71"/>
      <c r="X76" s="68">
        <f t="shared" ref="X76" si="50">V76*W76</f>
        <v>0</v>
      </c>
    </row>
    <row r="77" spans="1:24" s="117" customFormat="1" ht="90" x14ac:dyDescent="0.25">
      <c r="A77" s="302"/>
      <c r="B77" s="302"/>
      <c r="C77" s="70" t="s">
        <v>192</v>
      </c>
      <c r="D77" s="71">
        <f>Prices!B$3</f>
        <v>3080</v>
      </c>
      <c r="E77" s="71">
        <v>3</v>
      </c>
      <c r="F77" s="71">
        <v>1</v>
      </c>
      <c r="G77" s="68">
        <f t="shared" si="35"/>
        <v>9240</v>
      </c>
      <c r="H77" s="85"/>
      <c r="I77" s="86"/>
      <c r="J77" s="86"/>
      <c r="K77" s="86"/>
      <c r="L77" s="87">
        <f t="shared" si="46"/>
        <v>0</v>
      </c>
      <c r="M77" s="70" t="s">
        <v>193</v>
      </c>
      <c r="N77" s="71">
        <v>37000</v>
      </c>
      <c r="O77" s="71">
        <v>15</v>
      </c>
      <c r="P77" s="68">
        <f t="shared" ref="P77" si="51">N77*O77</f>
        <v>555000</v>
      </c>
      <c r="Q77" s="85"/>
      <c r="R77" s="86"/>
      <c r="S77" s="86"/>
      <c r="T77" s="87">
        <f t="shared" si="44"/>
        <v>0</v>
      </c>
      <c r="U77" s="107"/>
      <c r="V77" s="71"/>
      <c r="W77" s="71"/>
      <c r="X77" s="68">
        <f t="shared" si="45"/>
        <v>0</v>
      </c>
    </row>
    <row r="78" spans="1:24" s="117" customFormat="1" ht="75" x14ac:dyDescent="0.25">
      <c r="A78" s="302"/>
      <c r="B78" s="302"/>
      <c r="C78" s="70"/>
      <c r="D78" s="71"/>
      <c r="E78" s="71"/>
      <c r="F78" s="71"/>
      <c r="G78" s="68">
        <f t="shared" si="35"/>
        <v>0</v>
      </c>
      <c r="H78" s="85" t="s">
        <v>175</v>
      </c>
      <c r="I78" s="86">
        <f>Prices!$D$2</f>
        <v>16500</v>
      </c>
      <c r="J78" s="86">
        <v>1</v>
      </c>
      <c r="K78" s="86">
        <v>2</v>
      </c>
      <c r="L78" s="87">
        <f t="shared" si="46"/>
        <v>33000</v>
      </c>
      <c r="M78" s="70" t="s">
        <v>147</v>
      </c>
      <c r="N78" s="71">
        <v>45000</v>
      </c>
      <c r="O78" s="71">
        <v>1</v>
      </c>
      <c r="P78" s="68">
        <f t="shared" ref="P78" si="52">N78*O78</f>
        <v>45000</v>
      </c>
      <c r="Q78" s="85"/>
      <c r="R78" s="86"/>
      <c r="S78" s="86"/>
      <c r="T78" s="87">
        <f t="shared" ref="T78:T80" si="53">R78*S78</f>
        <v>0</v>
      </c>
      <c r="U78" s="107"/>
      <c r="V78" s="71"/>
      <c r="W78" s="71"/>
      <c r="X78" s="68">
        <f t="shared" ref="X78:X80" si="54">V78*W78</f>
        <v>0</v>
      </c>
    </row>
    <row r="79" spans="1:24" s="117" customFormat="1" ht="60" x14ac:dyDescent="0.25">
      <c r="A79" s="302"/>
      <c r="B79" s="302"/>
      <c r="C79" s="70"/>
      <c r="D79" s="71"/>
      <c r="E79" s="71"/>
      <c r="F79" s="71"/>
      <c r="G79" s="68">
        <f t="shared" si="35"/>
        <v>0</v>
      </c>
      <c r="H79" s="113" t="s">
        <v>177</v>
      </c>
      <c r="I79" s="114">
        <f>Prices!$D$8</f>
        <v>4620</v>
      </c>
      <c r="J79" s="114">
        <v>3</v>
      </c>
      <c r="K79" s="114">
        <v>1</v>
      </c>
      <c r="L79" s="87">
        <f t="shared" si="46"/>
        <v>13860</v>
      </c>
      <c r="M79" s="70" t="s">
        <v>191</v>
      </c>
      <c r="N79" s="71">
        <v>40000</v>
      </c>
      <c r="O79" s="71">
        <v>1</v>
      </c>
      <c r="P79" s="68">
        <f>N79*O79</f>
        <v>40000</v>
      </c>
      <c r="Q79" s="85"/>
      <c r="R79" s="86"/>
      <c r="S79" s="86"/>
      <c r="T79" s="87">
        <f t="shared" si="53"/>
        <v>0</v>
      </c>
      <c r="U79" s="107"/>
      <c r="V79" s="71"/>
      <c r="W79" s="71"/>
      <c r="X79" s="68"/>
    </row>
    <row r="80" spans="1:24" s="117" customFormat="1" x14ac:dyDescent="0.25">
      <c r="A80" s="302"/>
      <c r="B80" s="302"/>
      <c r="C80" s="70"/>
      <c r="D80" s="71"/>
      <c r="E80" s="71"/>
      <c r="F80" s="71"/>
      <c r="G80" s="68">
        <f t="shared" si="35"/>
        <v>0</v>
      </c>
      <c r="H80" s="85"/>
      <c r="I80" s="86"/>
      <c r="J80" s="86"/>
      <c r="K80" s="86"/>
      <c r="L80" s="87">
        <f t="shared" si="46"/>
        <v>0</v>
      </c>
      <c r="M80" s="70"/>
      <c r="N80" s="71"/>
      <c r="O80" s="71"/>
      <c r="P80" s="68"/>
      <c r="Q80" s="85"/>
      <c r="R80" s="86"/>
      <c r="S80" s="86"/>
      <c r="T80" s="87">
        <f t="shared" si="53"/>
        <v>0</v>
      </c>
      <c r="U80" s="107"/>
      <c r="V80" s="71"/>
      <c r="W80" s="71"/>
      <c r="X80" s="68">
        <f t="shared" si="54"/>
        <v>0</v>
      </c>
    </row>
    <row r="81" spans="1:24" s="117" customFormat="1" ht="117.75" hidden="1" customHeight="1" x14ac:dyDescent="0.25">
      <c r="A81" s="157"/>
      <c r="B81" s="165"/>
      <c r="C81" s="70"/>
      <c r="D81" s="71"/>
      <c r="E81" s="71"/>
      <c r="F81" s="71"/>
      <c r="G81" s="68">
        <f t="shared" ref="G81:G82" si="55">D81*F81</f>
        <v>0</v>
      </c>
      <c r="H81" s="85"/>
      <c r="I81" s="86"/>
      <c r="J81" s="86"/>
      <c r="K81" s="86"/>
      <c r="L81" s="87">
        <f t="shared" ref="L81:L82" si="56">I81*K81</f>
        <v>0</v>
      </c>
      <c r="M81" s="70"/>
      <c r="N81" s="71"/>
      <c r="O81" s="71"/>
      <c r="P81" s="68">
        <f t="shared" si="7"/>
        <v>0</v>
      </c>
      <c r="Q81" s="111"/>
      <c r="R81" s="86"/>
      <c r="S81" s="86"/>
      <c r="T81" s="87">
        <f t="shared" si="8"/>
        <v>0</v>
      </c>
      <c r="U81" s="70"/>
      <c r="V81" s="71"/>
      <c r="W81" s="71"/>
      <c r="X81" s="68">
        <f t="shared" si="9"/>
        <v>0</v>
      </c>
    </row>
    <row r="82" spans="1:24" s="117" customFormat="1" ht="18.75" hidden="1" customHeight="1" thickBot="1" x14ac:dyDescent="0.3">
      <c r="A82" s="157"/>
      <c r="B82" s="165"/>
      <c r="C82" s="70"/>
      <c r="D82" s="71"/>
      <c r="E82" s="71"/>
      <c r="F82" s="71"/>
      <c r="G82" s="68">
        <f t="shared" si="55"/>
        <v>0</v>
      </c>
      <c r="H82" s="85"/>
      <c r="I82" s="86"/>
      <c r="J82" s="86"/>
      <c r="K82" s="86"/>
      <c r="L82" s="87">
        <f t="shared" si="56"/>
        <v>0</v>
      </c>
      <c r="M82" s="70"/>
      <c r="N82" s="71"/>
      <c r="O82" s="71"/>
      <c r="P82" s="68">
        <f t="shared" si="7"/>
        <v>0</v>
      </c>
      <c r="Q82" s="85"/>
      <c r="R82" s="86"/>
      <c r="S82" s="86"/>
      <c r="T82" s="87">
        <f t="shared" si="8"/>
        <v>0</v>
      </c>
      <c r="U82" s="107"/>
      <c r="V82" s="71"/>
      <c r="W82" s="71"/>
      <c r="X82" s="68">
        <f t="shared" si="9"/>
        <v>0</v>
      </c>
    </row>
    <row r="83" spans="1:24" s="122" customFormat="1" ht="15.75" x14ac:dyDescent="0.25">
      <c r="A83" s="324" t="s">
        <v>202</v>
      </c>
      <c r="B83" s="325"/>
      <c r="C83" s="325"/>
      <c r="D83" s="325"/>
      <c r="E83" s="325"/>
      <c r="F83" s="325"/>
      <c r="G83" s="325"/>
      <c r="H83" s="325"/>
      <c r="I83" s="325"/>
      <c r="J83" s="325"/>
      <c r="K83" s="325"/>
      <c r="L83" s="325"/>
      <c r="M83" s="325"/>
      <c r="N83" s="325"/>
      <c r="O83" s="325"/>
      <c r="P83" s="325"/>
      <c r="Q83" s="325"/>
      <c r="R83" s="325"/>
      <c r="S83" s="325"/>
      <c r="T83" s="325"/>
      <c r="U83" s="325"/>
      <c r="V83" s="325"/>
      <c r="W83" s="325"/>
      <c r="X83" s="325"/>
    </row>
    <row r="84" spans="1:24" s="117" customFormat="1" ht="180" x14ac:dyDescent="0.25">
      <c r="A84" s="301" t="s">
        <v>159</v>
      </c>
      <c r="B84" s="303">
        <f>SUM(G84:G87)+SUM(L84:L87)+SUM(P84:P87)+SUM(T84:T87)+SUM(X84:X87)</f>
        <v>348220</v>
      </c>
      <c r="C84" s="70"/>
      <c r="D84" s="71"/>
      <c r="E84" s="71"/>
      <c r="F84" s="71"/>
      <c r="G84" s="68">
        <f t="shared" ref="G84:G87" si="57">D84*E84*F84</f>
        <v>0</v>
      </c>
      <c r="H84" s="113" t="s">
        <v>157</v>
      </c>
      <c r="I84" s="114">
        <f>Prices!$D$2</f>
        <v>16500</v>
      </c>
      <c r="J84" s="114">
        <v>12</v>
      </c>
      <c r="K84" s="114">
        <v>1</v>
      </c>
      <c r="L84" s="87">
        <f t="shared" ref="L84:L87" si="58">I84*J84*K84</f>
        <v>198000</v>
      </c>
      <c r="M84" s="70"/>
      <c r="N84" s="71"/>
      <c r="O84" s="71"/>
      <c r="P84" s="68">
        <f>N84*O84</f>
        <v>0</v>
      </c>
      <c r="Q84" s="85"/>
      <c r="R84" s="86"/>
      <c r="S84" s="86"/>
      <c r="T84" s="87">
        <f>R84*S84</f>
        <v>0</v>
      </c>
      <c r="U84" s="107"/>
      <c r="V84" s="71"/>
      <c r="W84" s="71"/>
      <c r="X84" s="68">
        <f t="shared" ref="X84:X86" si="59">V84*W84</f>
        <v>0</v>
      </c>
    </row>
    <row r="85" spans="1:24" s="117" customFormat="1" ht="60" x14ac:dyDescent="0.25">
      <c r="A85" s="302"/>
      <c r="B85" s="302"/>
      <c r="C85" s="70"/>
      <c r="D85" s="71"/>
      <c r="E85" s="71"/>
      <c r="F85" s="71"/>
      <c r="G85" s="68">
        <f t="shared" si="57"/>
        <v>0</v>
      </c>
      <c r="H85" s="113" t="s">
        <v>280</v>
      </c>
      <c r="I85" s="114">
        <f>Prices!$D$2</f>
        <v>16500</v>
      </c>
      <c r="J85" s="114">
        <v>5</v>
      </c>
      <c r="K85" s="114">
        <v>1</v>
      </c>
      <c r="L85" s="87">
        <f t="shared" si="58"/>
        <v>82500</v>
      </c>
      <c r="M85" s="70" t="s">
        <v>138</v>
      </c>
      <c r="N85" s="71">
        <v>40000</v>
      </c>
      <c r="O85" s="71">
        <v>1</v>
      </c>
      <c r="P85" s="68">
        <f t="shared" ref="P85" si="60">N85*O85</f>
        <v>40000</v>
      </c>
      <c r="Q85" s="85"/>
      <c r="R85" s="86"/>
      <c r="S85" s="86"/>
      <c r="T85" s="87">
        <f>R85*S85</f>
        <v>0</v>
      </c>
      <c r="U85" s="107"/>
      <c r="V85" s="71"/>
      <c r="W85" s="71"/>
      <c r="X85" s="68">
        <f t="shared" si="59"/>
        <v>0</v>
      </c>
    </row>
    <row r="86" spans="1:24" s="117" customFormat="1" x14ac:dyDescent="0.25">
      <c r="A86" s="302"/>
      <c r="B86" s="302"/>
      <c r="C86" s="70"/>
      <c r="D86" s="71"/>
      <c r="E86" s="71"/>
      <c r="F86" s="71"/>
      <c r="G86" s="68">
        <f t="shared" si="57"/>
        <v>0</v>
      </c>
      <c r="H86" s="113" t="s">
        <v>131</v>
      </c>
      <c r="I86" s="114">
        <f>Prices!$D$8</f>
        <v>4620</v>
      </c>
      <c r="J86" s="114">
        <v>6</v>
      </c>
      <c r="K86" s="114">
        <v>1</v>
      </c>
      <c r="L86" s="87">
        <f t="shared" si="58"/>
        <v>27720</v>
      </c>
      <c r="M86" s="70"/>
      <c r="N86" s="71"/>
      <c r="O86" s="71"/>
      <c r="P86" s="68">
        <f>N86*O86</f>
        <v>0</v>
      </c>
      <c r="Q86" s="85"/>
      <c r="R86" s="86"/>
      <c r="S86" s="86"/>
      <c r="T86" s="87">
        <f>R86*S86</f>
        <v>0</v>
      </c>
      <c r="U86" s="107"/>
      <c r="V86" s="71"/>
      <c r="W86" s="71"/>
      <c r="X86" s="68">
        <f t="shared" si="59"/>
        <v>0</v>
      </c>
    </row>
    <row r="87" spans="1:24" s="117" customFormat="1" ht="12.75" customHeight="1" x14ac:dyDescent="0.25">
      <c r="A87" s="302"/>
      <c r="B87" s="302"/>
      <c r="C87" s="70"/>
      <c r="D87" s="71"/>
      <c r="E87" s="71"/>
      <c r="F87" s="71"/>
      <c r="G87" s="68">
        <f t="shared" si="57"/>
        <v>0</v>
      </c>
      <c r="H87" s="85"/>
      <c r="I87" s="86"/>
      <c r="J87" s="86"/>
      <c r="K87" s="86"/>
      <c r="L87" s="87">
        <f t="shared" si="58"/>
        <v>0</v>
      </c>
      <c r="M87" s="70"/>
      <c r="N87" s="71"/>
      <c r="O87" s="71"/>
      <c r="P87" s="68"/>
      <c r="Q87" s="85"/>
      <c r="R87" s="86"/>
      <c r="S87" s="86"/>
      <c r="T87" s="87"/>
      <c r="U87" s="107"/>
      <c r="V87" s="71"/>
      <c r="W87" s="71"/>
      <c r="X87" s="68"/>
    </row>
    <row r="88" spans="1:24" s="117" customFormat="1" ht="17.100000000000001" customHeight="1" x14ac:dyDescent="0.25">
      <c r="A88" s="304">
        <f>SUM(T4:T82)</f>
        <v>0</v>
      </c>
      <c r="B88" s="305"/>
      <c r="C88" s="305"/>
      <c r="D88" s="305"/>
      <c r="E88" s="305"/>
      <c r="F88" s="305"/>
      <c r="G88" s="305"/>
      <c r="H88" s="305"/>
      <c r="I88" s="305"/>
      <c r="J88" s="305"/>
      <c r="K88" s="305"/>
      <c r="L88" s="305"/>
      <c r="M88" s="305"/>
      <c r="N88" s="305"/>
      <c r="O88" s="305"/>
      <c r="P88" s="305"/>
      <c r="Q88" s="305"/>
      <c r="R88" s="305"/>
      <c r="S88" s="305"/>
      <c r="T88" s="305"/>
      <c r="U88" s="305"/>
      <c r="V88" s="305"/>
      <c r="W88" s="305"/>
      <c r="X88" s="305"/>
    </row>
    <row r="89" spans="1:24" s="117" customFormat="1" ht="15.75" x14ac:dyDescent="0.25">
      <c r="A89" s="120" t="s">
        <v>53</v>
      </c>
      <c r="B89" s="121">
        <f>SUM(A92:B204)</f>
        <v>10250201.6</v>
      </c>
      <c r="C89" s="355" t="s">
        <v>42</v>
      </c>
      <c r="D89" s="305"/>
      <c r="E89" s="305"/>
      <c r="F89" s="305"/>
      <c r="G89" s="305"/>
      <c r="H89" s="305"/>
      <c r="I89" s="305"/>
      <c r="J89" s="305"/>
      <c r="K89" s="305"/>
      <c r="L89" s="305"/>
      <c r="M89" s="305"/>
      <c r="N89" s="305"/>
      <c r="O89" s="305"/>
      <c r="P89" s="305"/>
      <c r="Q89" s="305"/>
      <c r="R89" s="305"/>
      <c r="S89" s="305"/>
      <c r="T89" s="305"/>
      <c r="U89" s="305"/>
      <c r="V89" s="305"/>
      <c r="W89" s="305"/>
      <c r="X89" s="305"/>
    </row>
    <row r="90" spans="1:24" s="117" customFormat="1" ht="14.45" customHeight="1" x14ac:dyDescent="0.25">
      <c r="A90" s="332" t="s">
        <v>144</v>
      </c>
      <c r="B90" s="354"/>
      <c r="C90" s="337" t="s">
        <v>43</v>
      </c>
      <c r="D90" s="338"/>
      <c r="E90" s="338"/>
      <c r="F90" s="338"/>
      <c r="G90" s="338"/>
      <c r="H90" s="337" t="s">
        <v>44</v>
      </c>
      <c r="I90" s="338"/>
      <c r="J90" s="338"/>
      <c r="K90" s="338"/>
      <c r="L90" s="338"/>
      <c r="M90" s="290" t="s">
        <v>45</v>
      </c>
      <c r="N90" s="336"/>
      <c r="O90" s="336"/>
      <c r="P90" s="336"/>
      <c r="Q90" s="290" t="s">
        <v>51</v>
      </c>
      <c r="R90" s="336"/>
      <c r="S90" s="336"/>
      <c r="T90" s="336"/>
      <c r="U90" s="290" t="s">
        <v>46</v>
      </c>
      <c r="V90" s="336"/>
      <c r="W90" s="336"/>
      <c r="X90" s="336"/>
    </row>
    <row r="91" spans="1:24" s="117" customFormat="1" ht="52.5" customHeight="1" x14ac:dyDescent="0.25">
      <c r="A91" s="354"/>
      <c r="B91" s="354"/>
      <c r="C91" s="158" t="s">
        <v>48</v>
      </c>
      <c r="D91" s="119" t="s">
        <v>72</v>
      </c>
      <c r="E91" s="119" t="s">
        <v>182</v>
      </c>
      <c r="F91" s="119" t="s">
        <v>183</v>
      </c>
      <c r="G91" s="158" t="s">
        <v>2</v>
      </c>
      <c r="H91" s="158" t="s">
        <v>48</v>
      </c>
      <c r="I91" s="119" t="s">
        <v>49</v>
      </c>
      <c r="J91" s="119" t="s">
        <v>184</v>
      </c>
      <c r="K91" s="119" t="s">
        <v>183</v>
      </c>
      <c r="L91" s="158" t="s">
        <v>2</v>
      </c>
      <c r="M91" s="158" t="s">
        <v>48</v>
      </c>
      <c r="N91" s="119" t="s">
        <v>49</v>
      </c>
      <c r="O91" s="158" t="s">
        <v>50</v>
      </c>
      <c r="P91" s="158" t="s">
        <v>2</v>
      </c>
      <c r="Q91" s="158" t="s">
        <v>48</v>
      </c>
      <c r="R91" s="119" t="s">
        <v>49</v>
      </c>
      <c r="S91" s="158" t="s">
        <v>50</v>
      </c>
      <c r="T91" s="158" t="s">
        <v>2</v>
      </c>
      <c r="U91" s="158" t="s">
        <v>48</v>
      </c>
      <c r="V91" s="119" t="s">
        <v>49</v>
      </c>
      <c r="W91" s="158" t="s">
        <v>47</v>
      </c>
      <c r="X91" s="158" t="s">
        <v>2</v>
      </c>
    </row>
    <row r="92" spans="1:24" s="117" customFormat="1" ht="17.25" hidden="1" customHeight="1" thickBot="1" x14ac:dyDescent="0.3">
      <c r="A92" s="157"/>
      <c r="B92" s="166"/>
      <c r="C92" s="70"/>
      <c r="D92" s="71"/>
      <c r="E92" s="71"/>
      <c r="F92" s="71"/>
      <c r="G92" s="68">
        <f t="shared" ref="G92:G153" si="61">D92*E92*F92</f>
        <v>0</v>
      </c>
      <c r="H92" s="85"/>
      <c r="I92" s="86"/>
      <c r="J92" s="86"/>
      <c r="K92" s="86"/>
      <c r="L92" s="87">
        <f t="shared" ref="L92:L152" si="62">I92*J92*K92</f>
        <v>0</v>
      </c>
      <c r="M92" s="70"/>
      <c r="N92" s="71"/>
      <c r="O92" s="71"/>
      <c r="P92" s="68">
        <f t="shared" ref="P92:P142" si="63">N92*O92</f>
        <v>0</v>
      </c>
      <c r="Q92" s="85"/>
      <c r="R92" s="86"/>
      <c r="S92" s="86"/>
      <c r="T92" s="87">
        <f t="shared" ref="T92:T149" si="64">R92*S92</f>
        <v>0</v>
      </c>
      <c r="U92" s="107"/>
      <c r="V92" s="71"/>
      <c r="W92" s="71"/>
      <c r="X92" s="68">
        <f t="shared" ref="X92:X123" si="65">V92*W92</f>
        <v>0</v>
      </c>
    </row>
    <row r="93" spans="1:24" s="117" customFormat="1" ht="15.75" hidden="1" customHeight="1" thickBot="1" x14ac:dyDescent="0.3">
      <c r="A93" s="157"/>
      <c r="B93" s="166"/>
      <c r="C93" s="70"/>
      <c r="D93" s="71"/>
      <c r="E93" s="71"/>
      <c r="F93" s="71"/>
      <c r="G93" s="68">
        <f t="shared" si="61"/>
        <v>0</v>
      </c>
      <c r="H93" s="85"/>
      <c r="I93" s="86"/>
      <c r="J93" s="86"/>
      <c r="K93" s="86"/>
      <c r="L93" s="87">
        <f t="shared" si="62"/>
        <v>0</v>
      </c>
      <c r="M93" s="70"/>
      <c r="N93" s="71"/>
      <c r="O93" s="71"/>
      <c r="P93" s="68">
        <f t="shared" si="63"/>
        <v>0</v>
      </c>
      <c r="Q93" s="85"/>
      <c r="R93" s="86"/>
      <c r="S93" s="86"/>
      <c r="T93" s="87">
        <f t="shared" si="64"/>
        <v>0</v>
      </c>
      <c r="U93" s="107"/>
      <c r="V93" s="71"/>
      <c r="W93" s="71"/>
      <c r="X93" s="68">
        <f t="shared" si="65"/>
        <v>0</v>
      </c>
    </row>
    <row r="94" spans="1:24" s="117" customFormat="1" ht="16.5" hidden="1" customHeight="1" thickBot="1" x14ac:dyDescent="0.3">
      <c r="A94" s="157"/>
      <c r="B94" s="166"/>
      <c r="C94" s="70"/>
      <c r="D94" s="71"/>
      <c r="E94" s="71"/>
      <c r="F94" s="71"/>
      <c r="G94" s="68">
        <f t="shared" si="61"/>
        <v>0</v>
      </c>
      <c r="H94" s="85"/>
      <c r="I94" s="86"/>
      <c r="J94" s="86"/>
      <c r="K94" s="86"/>
      <c r="L94" s="87">
        <f t="shared" si="62"/>
        <v>0</v>
      </c>
      <c r="M94" s="70"/>
      <c r="N94" s="71"/>
      <c r="O94" s="71"/>
      <c r="P94" s="68">
        <f t="shared" si="63"/>
        <v>0</v>
      </c>
      <c r="Q94" s="85"/>
      <c r="R94" s="86"/>
      <c r="S94" s="86"/>
      <c r="T94" s="87">
        <f t="shared" si="64"/>
        <v>0</v>
      </c>
      <c r="U94" s="107"/>
      <c r="V94" s="71"/>
      <c r="W94" s="71"/>
      <c r="X94" s="68">
        <f t="shared" si="65"/>
        <v>0</v>
      </c>
    </row>
    <row r="95" spans="1:24" s="117" customFormat="1" ht="15.75" hidden="1" customHeight="1" thickBot="1" x14ac:dyDescent="0.3">
      <c r="A95" s="157"/>
      <c r="B95" s="166"/>
      <c r="C95" s="70"/>
      <c r="D95" s="71"/>
      <c r="E95" s="71"/>
      <c r="F95" s="71"/>
      <c r="G95" s="68">
        <f t="shared" si="61"/>
        <v>0</v>
      </c>
      <c r="H95" s="85"/>
      <c r="I95" s="86"/>
      <c r="J95" s="86"/>
      <c r="K95" s="86"/>
      <c r="L95" s="87">
        <f t="shared" si="62"/>
        <v>0</v>
      </c>
      <c r="M95" s="70"/>
      <c r="N95" s="71"/>
      <c r="O95" s="71"/>
      <c r="P95" s="68">
        <f t="shared" si="63"/>
        <v>0</v>
      </c>
      <c r="Q95" s="85"/>
      <c r="R95" s="86"/>
      <c r="S95" s="86"/>
      <c r="T95" s="87">
        <f t="shared" si="64"/>
        <v>0</v>
      </c>
      <c r="U95" s="107"/>
      <c r="V95" s="71"/>
      <c r="W95" s="71"/>
      <c r="X95" s="68">
        <f t="shared" si="65"/>
        <v>0</v>
      </c>
    </row>
    <row r="96" spans="1:24" s="117" customFormat="1" ht="15.75" hidden="1" customHeight="1" thickBot="1" x14ac:dyDescent="0.3">
      <c r="A96" s="157"/>
      <c r="B96" s="166"/>
      <c r="C96" s="70"/>
      <c r="D96" s="71"/>
      <c r="E96" s="71"/>
      <c r="F96" s="71"/>
      <c r="G96" s="68">
        <f t="shared" si="61"/>
        <v>0</v>
      </c>
      <c r="H96" s="85"/>
      <c r="I96" s="86"/>
      <c r="J96" s="86"/>
      <c r="K96" s="86"/>
      <c r="L96" s="87">
        <f t="shared" si="62"/>
        <v>0</v>
      </c>
      <c r="M96" s="70"/>
      <c r="N96" s="71"/>
      <c r="O96" s="71"/>
      <c r="P96" s="68">
        <f t="shared" si="63"/>
        <v>0</v>
      </c>
      <c r="Q96" s="85"/>
      <c r="R96" s="86"/>
      <c r="S96" s="86"/>
      <c r="T96" s="87">
        <f t="shared" si="64"/>
        <v>0</v>
      </c>
      <c r="U96" s="107"/>
      <c r="V96" s="71"/>
      <c r="W96" s="71"/>
      <c r="X96" s="68">
        <f t="shared" si="65"/>
        <v>0</v>
      </c>
    </row>
    <row r="97" spans="1:24" s="117" customFormat="1" ht="17.25" hidden="1" customHeight="1" thickBot="1" x14ac:dyDescent="0.3">
      <c r="A97" s="157"/>
      <c r="B97" s="166"/>
      <c r="C97" s="70"/>
      <c r="D97" s="71"/>
      <c r="E97" s="71"/>
      <c r="F97" s="71"/>
      <c r="G97" s="68">
        <f t="shared" si="61"/>
        <v>0</v>
      </c>
      <c r="H97" s="85"/>
      <c r="I97" s="86"/>
      <c r="J97" s="86"/>
      <c r="K97" s="86"/>
      <c r="L97" s="87">
        <f t="shared" si="62"/>
        <v>0</v>
      </c>
      <c r="M97" s="70"/>
      <c r="N97" s="71"/>
      <c r="O97" s="71"/>
      <c r="P97" s="68">
        <f t="shared" si="63"/>
        <v>0</v>
      </c>
      <c r="Q97" s="85"/>
      <c r="R97" s="86"/>
      <c r="S97" s="86"/>
      <c r="T97" s="87">
        <f t="shared" si="64"/>
        <v>0</v>
      </c>
      <c r="U97" s="107"/>
      <c r="V97" s="71"/>
      <c r="W97" s="71"/>
      <c r="X97" s="68">
        <f t="shared" si="65"/>
        <v>0</v>
      </c>
    </row>
    <row r="98" spans="1:24" s="117" customFormat="1" ht="240" customHeight="1" x14ac:dyDescent="0.25">
      <c r="A98" s="292" t="s">
        <v>243</v>
      </c>
      <c r="B98" s="284">
        <f>SUM(G98:G101)+SUM(L98:L101)+SUM(P98:P101)+SUM(T98:T101)+SUM(X98:X101)</f>
        <v>597000</v>
      </c>
      <c r="C98" s="70" t="s">
        <v>126</v>
      </c>
      <c r="D98" s="71">
        <f>Prices!D2</f>
        <v>16500</v>
      </c>
      <c r="E98" s="71">
        <v>6</v>
      </c>
      <c r="F98" s="71">
        <v>3</v>
      </c>
      <c r="G98" s="68">
        <f t="shared" si="61"/>
        <v>297000</v>
      </c>
      <c r="H98" s="85"/>
      <c r="I98" s="86"/>
      <c r="J98" s="86"/>
      <c r="K98" s="86"/>
      <c r="L98" s="87">
        <f t="shared" si="62"/>
        <v>0</v>
      </c>
      <c r="M98" s="70" t="s">
        <v>111</v>
      </c>
      <c r="N98" s="71">
        <v>1</v>
      </c>
      <c r="O98" s="71">
        <v>300000</v>
      </c>
      <c r="P98" s="68">
        <f t="shared" ref="P98:P107" si="66">N98*O98</f>
        <v>300000</v>
      </c>
      <c r="Q98" s="85"/>
      <c r="R98" s="86"/>
      <c r="S98" s="86"/>
      <c r="T98" s="87">
        <f t="shared" ref="T98:T107" si="67">R98*S98</f>
        <v>0</v>
      </c>
      <c r="U98" s="107"/>
      <c r="V98" s="71"/>
      <c r="W98" s="71"/>
      <c r="X98" s="68">
        <f t="shared" si="65"/>
        <v>0</v>
      </c>
    </row>
    <row r="99" spans="1:24" s="117" customFormat="1" ht="13.5" customHeight="1" x14ac:dyDescent="0.25">
      <c r="A99" s="299"/>
      <c r="B99" s="285"/>
      <c r="C99" s="70"/>
      <c r="D99" s="71"/>
      <c r="E99" s="71"/>
      <c r="F99" s="71"/>
      <c r="G99" s="68">
        <f t="shared" si="61"/>
        <v>0</v>
      </c>
      <c r="H99" s="85"/>
      <c r="I99" s="86"/>
      <c r="J99" s="86"/>
      <c r="K99" s="86"/>
      <c r="L99" s="87">
        <f t="shared" si="62"/>
        <v>0</v>
      </c>
      <c r="M99" s="70"/>
      <c r="N99" s="71"/>
      <c r="O99" s="71"/>
      <c r="P99" s="68">
        <f t="shared" si="66"/>
        <v>0</v>
      </c>
      <c r="Q99" s="85"/>
      <c r="R99" s="86"/>
      <c r="S99" s="86"/>
      <c r="T99" s="87">
        <f t="shared" si="67"/>
        <v>0</v>
      </c>
      <c r="U99" s="107"/>
      <c r="V99" s="71"/>
      <c r="W99" s="71"/>
      <c r="X99" s="68">
        <f t="shared" si="65"/>
        <v>0</v>
      </c>
    </row>
    <row r="100" spans="1:24" s="117" customFormat="1" x14ac:dyDescent="0.25">
      <c r="A100" s="299"/>
      <c r="B100" s="285"/>
      <c r="C100" s="70"/>
      <c r="D100" s="71"/>
      <c r="E100" s="71"/>
      <c r="F100" s="71"/>
      <c r="G100" s="68">
        <f t="shared" si="61"/>
        <v>0</v>
      </c>
      <c r="H100" s="85"/>
      <c r="I100" s="86"/>
      <c r="J100" s="86"/>
      <c r="K100" s="86"/>
      <c r="L100" s="87">
        <f t="shared" si="62"/>
        <v>0</v>
      </c>
      <c r="M100" s="70"/>
      <c r="N100" s="71"/>
      <c r="O100" s="71"/>
      <c r="P100" s="68">
        <f t="shared" si="66"/>
        <v>0</v>
      </c>
      <c r="Q100" s="85"/>
      <c r="R100" s="86"/>
      <c r="S100" s="86"/>
      <c r="T100" s="87">
        <f t="shared" si="67"/>
        <v>0</v>
      </c>
      <c r="U100" s="107"/>
      <c r="V100" s="71"/>
      <c r="W100" s="71"/>
      <c r="X100" s="68">
        <f t="shared" si="65"/>
        <v>0</v>
      </c>
    </row>
    <row r="101" spans="1:24" s="117" customFormat="1" ht="18.75" customHeight="1" x14ac:dyDescent="0.25">
      <c r="A101" s="300"/>
      <c r="B101" s="286"/>
      <c r="C101" s="70"/>
      <c r="D101" s="71"/>
      <c r="E101" s="71"/>
      <c r="F101" s="71"/>
      <c r="G101" s="68">
        <f t="shared" si="61"/>
        <v>0</v>
      </c>
      <c r="H101" s="85"/>
      <c r="I101" s="86"/>
      <c r="J101" s="86"/>
      <c r="K101" s="86"/>
      <c r="L101" s="87">
        <f t="shared" si="62"/>
        <v>0</v>
      </c>
      <c r="M101" s="70"/>
      <c r="N101" s="71"/>
      <c r="O101" s="71"/>
      <c r="P101" s="68">
        <f t="shared" si="66"/>
        <v>0</v>
      </c>
      <c r="Q101" s="85"/>
      <c r="R101" s="86"/>
      <c r="S101" s="86"/>
      <c r="T101" s="87">
        <f t="shared" si="67"/>
        <v>0</v>
      </c>
      <c r="U101" s="107"/>
      <c r="V101" s="71"/>
      <c r="W101" s="71"/>
      <c r="X101" s="68">
        <f t="shared" si="65"/>
        <v>0</v>
      </c>
    </row>
    <row r="102" spans="1:24" s="117" customFormat="1" ht="70.5" customHeight="1" x14ac:dyDescent="0.25">
      <c r="A102" s="287" t="s">
        <v>300</v>
      </c>
      <c r="B102" s="284">
        <f>SUM(G102:G108)+SUM(L102:L108)+SUM(P102:P108)+SUM(T102:T108)+SUM(X102:X108)</f>
        <v>396000</v>
      </c>
      <c r="C102" s="156" t="s">
        <v>226</v>
      </c>
      <c r="D102" s="71">
        <f>Prices!D2</f>
        <v>16500</v>
      </c>
      <c r="E102" s="71">
        <v>6</v>
      </c>
      <c r="F102" s="71">
        <v>2</v>
      </c>
      <c r="G102" s="68">
        <f t="shared" si="61"/>
        <v>198000</v>
      </c>
      <c r="H102" s="85"/>
      <c r="I102" s="86"/>
      <c r="J102" s="86"/>
      <c r="K102" s="86"/>
      <c r="L102" s="87">
        <f t="shared" si="62"/>
        <v>0</v>
      </c>
      <c r="M102" s="70"/>
      <c r="N102" s="71"/>
      <c r="O102" s="71"/>
      <c r="P102" s="68">
        <f t="shared" si="66"/>
        <v>0</v>
      </c>
      <c r="Q102" s="85"/>
      <c r="R102" s="86"/>
      <c r="S102" s="86"/>
      <c r="T102" s="87">
        <f t="shared" si="67"/>
        <v>0</v>
      </c>
      <c r="U102" s="107"/>
      <c r="V102" s="71"/>
      <c r="W102" s="71"/>
      <c r="X102" s="68">
        <f t="shared" si="65"/>
        <v>0</v>
      </c>
    </row>
    <row r="103" spans="1:24" s="117" customFormat="1" ht="18.75" hidden="1" customHeight="1" thickBot="1" x14ac:dyDescent="0.3">
      <c r="A103" s="288"/>
      <c r="B103" s="285"/>
      <c r="C103" s="70"/>
      <c r="D103" s="71"/>
      <c r="E103" s="71"/>
      <c r="F103" s="71"/>
      <c r="G103" s="68">
        <f t="shared" si="61"/>
        <v>0</v>
      </c>
      <c r="H103" s="85"/>
      <c r="I103" s="86"/>
      <c r="J103" s="86"/>
      <c r="K103" s="86"/>
      <c r="L103" s="87">
        <f t="shared" si="62"/>
        <v>0</v>
      </c>
      <c r="M103" s="70"/>
      <c r="N103" s="71"/>
      <c r="O103" s="71"/>
      <c r="P103" s="68">
        <f t="shared" si="66"/>
        <v>0</v>
      </c>
      <c r="Q103" s="85"/>
      <c r="R103" s="86"/>
      <c r="S103" s="86"/>
      <c r="T103" s="87">
        <f t="shared" si="67"/>
        <v>0</v>
      </c>
      <c r="U103" s="107"/>
      <c r="V103" s="71"/>
      <c r="W103" s="71"/>
      <c r="X103" s="68">
        <f t="shared" si="65"/>
        <v>0</v>
      </c>
    </row>
    <row r="104" spans="1:24" s="117" customFormat="1" ht="18.75" hidden="1" customHeight="1" thickBot="1" x14ac:dyDescent="0.3">
      <c r="A104" s="288"/>
      <c r="B104" s="285"/>
      <c r="C104" s="70"/>
      <c r="D104" s="71"/>
      <c r="E104" s="71"/>
      <c r="F104" s="71"/>
      <c r="G104" s="68">
        <f t="shared" si="61"/>
        <v>0</v>
      </c>
      <c r="H104" s="85"/>
      <c r="I104" s="86"/>
      <c r="J104" s="86"/>
      <c r="K104" s="86"/>
      <c r="L104" s="87">
        <f t="shared" si="62"/>
        <v>0</v>
      </c>
      <c r="M104" s="70"/>
      <c r="N104" s="71"/>
      <c r="O104" s="71"/>
      <c r="P104" s="68">
        <f t="shared" si="66"/>
        <v>0</v>
      </c>
      <c r="Q104" s="85"/>
      <c r="R104" s="86"/>
      <c r="S104" s="86"/>
      <c r="T104" s="87">
        <f t="shared" si="67"/>
        <v>0</v>
      </c>
      <c r="U104" s="107"/>
      <c r="V104" s="71"/>
      <c r="W104" s="71"/>
      <c r="X104" s="68">
        <f t="shared" si="65"/>
        <v>0</v>
      </c>
    </row>
    <row r="105" spans="1:24" s="117" customFormat="1" ht="18.75" hidden="1" customHeight="1" thickBot="1" x14ac:dyDescent="0.3">
      <c r="A105" s="288"/>
      <c r="B105" s="285"/>
      <c r="C105" s="70"/>
      <c r="D105" s="71"/>
      <c r="E105" s="71"/>
      <c r="F105" s="71"/>
      <c r="G105" s="68">
        <f t="shared" si="61"/>
        <v>0</v>
      </c>
      <c r="H105" s="85"/>
      <c r="I105" s="86"/>
      <c r="J105" s="86"/>
      <c r="K105" s="86"/>
      <c r="L105" s="87">
        <f t="shared" si="62"/>
        <v>0</v>
      </c>
      <c r="M105" s="70"/>
      <c r="N105" s="71"/>
      <c r="O105" s="71"/>
      <c r="P105" s="68">
        <f t="shared" si="66"/>
        <v>0</v>
      </c>
      <c r="Q105" s="85"/>
      <c r="R105" s="86"/>
      <c r="S105" s="86"/>
      <c r="T105" s="87">
        <f t="shared" si="67"/>
        <v>0</v>
      </c>
      <c r="U105" s="107"/>
      <c r="V105" s="71"/>
      <c r="W105" s="71"/>
      <c r="X105" s="68">
        <f t="shared" si="65"/>
        <v>0</v>
      </c>
    </row>
    <row r="106" spans="1:24" s="117" customFormat="1" ht="18.75" hidden="1" customHeight="1" thickBot="1" x14ac:dyDescent="0.3">
      <c r="A106" s="288"/>
      <c r="B106" s="285"/>
      <c r="C106" s="70"/>
      <c r="D106" s="71"/>
      <c r="E106" s="71"/>
      <c r="F106" s="71"/>
      <c r="G106" s="68">
        <f t="shared" si="61"/>
        <v>0</v>
      </c>
      <c r="H106" s="85"/>
      <c r="I106" s="86"/>
      <c r="J106" s="86"/>
      <c r="K106" s="86"/>
      <c r="L106" s="87">
        <f t="shared" si="62"/>
        <v>0</v>
      </c>
      <c r="M106" s="70"/>
      <c r="N106" s="71"/>
      <c r="O106" s="71"/>
      <c r="P106" s="68">
        <f t="shared" si="66"/>
        <v>0</v>
      </c>
      <c r="Q106" s="85"/>
      <c r="R106" s="86"/>
      <c r="S106" s="86"/>
      <c r="T106" s="87">
        <f t="shared" si="67"/>
        <v>0</v>
      </c>
      <c r="U106" s="107"/>
      <c r="V106" s="71"/>
      <c r="W106" s="71"/>
      <c r="X106" s="68">
        <f t="shared" si="65"/>
        <v>0</v>
      </c>
    </row>
    <row r="107" spans="1:24" s="117" customFormat="1" ht="67.5" hidden="1" customHeight="1" thickBot="1" x14ac:dyDescent="0.3">
      <c r="A107" s="288"/>
      <c r="B107" s="285"/>
      <c r="C107" s="70"/>
      <c r="D107" s="71"/>
      <c r="E107" s="71"/>
      <c r="F107" s="71"/>
      <c r="G107" s="68">
        <f t="shared" si="61"/>
        <v>0</v>
      </c>
      <c r="H107" s="85"/>
      <c r="I107" s="86"/>
      <c r="J107" s="86"/>
      <c r="K107" s="86"/>
      <c r="L107" s="87">
        <f t="shared" si="62"/>
        <v>0</v>
      </c>
      <c r="M107" s="70"/>
      <c r="N107" s="71"/>
      <c r="O107" s="71"/>
      <c r="P107" s="68">
        <f t="shared" si="66"/>
        <v>0</v>
      </c>
      <c r="Q107" s="85"/>
      <c r="R107" s="86"/>
      <c r="S107" s="86"/>
      <c r="T107" s="87">
        <f t="shared" si="67"/>
        <v>0</v>
      </c>
      <c r="U107" s="107"/>
      <c r="V107" s="71"/>
      <c r="W107" s="71"/>
      <c r="X107" s="68">
        <f t="shared" si="65"/>
        <v>0</v>
      </c>
    </row>
    <row r="108" spans="1:24" s="117" customFormat="1" ht="386.25" customHeight="1" x14ac:dyDescent="0.25">
      <c r="A108" s="289"/>
      <c r="B108" s="286"/>
      <c r="C108" s="70" t="s">
        <v>299</v>
      </c>
      <c r="D108" s="71">
        <f>Prices!D2</f>
        <v>16500</v>
      </c>
      <c r="E108" s="71">
        <v>6</v>
      </c>
      <c r="F108" s="71">
        <v>2</v>
      </c>
      <c r="G108" s="68">
        <f t="shared" si="61"/>
        <v>198000</v>
      </c>
      <c r="H108" s="85"/>
      <c r="I108" s="86"/>
      <c r="J108" s="86"/>
      <c r="K108" s="86"/>
      <c r="L108" s="87"/>
      <c r="M108" s="70"/>
      <c r="N108" s="71"/>
      <c r="O108" s="71"/>
      <c r="P108" s="68"/>
      <c r="Q108" s="85"/>
      <c r="R108" s="86"/>
      <c r="S108" s="86"/>
      <c r="T108" s="87"/>
      <c r="U108" s="107"/>
      <c r="V108" s="71"/>
      <c r="W108" s="71"/>
      <c r="X108" s="68"/>
    </row>
    <row r="109" spans="1:24" s="117" customFormat="1" ht="28.5" customHeight="1" x14ac:dyDescent="0.25">
      <c r="A109" s="287" t="s">
        <v>270</v>
      </c>
      <c r="B109" s="284">
        <f>SUM(G110:G120)+SUM(L110:L120)+SUM(P110:P120)+SUM(T110:T120)+SUM(X110:X120)</f>
        <v>1026000</v>
      </c>
      <c r="C109" s="156" t="s">
        <v>227</v>
      </c>
      <c r="D109" s="71"/>
      <c r="E109" s="71"/>
      <c r="F109" s="71"/>
      <c r="G109" s="68"/>
      <c r="H109" s="85"/>
      <c r="I109" s="86"/>
      <c r="J109" s="86"/>
      <c r="K109" s="86"/>
      <c r="L109" s="87"/>
      <c r="M109" s="70"/>
      <c r="N109" s="71"/>
      <c r="O109" s="71"/>
      <c r="P109" s="68"/>
      <c r="Q109" s="85"/>
      <c r="R109" s="86"/>
      <c r="S109" s="86"/>
      <c r="T109" s="87"/>
      <c r="U109" s="107"/>
      <c r="V109" s="71"/>
      <c r="W109" s="71"/>
      <c r="X109" s="68"/>
    </row>
    <row r="110" spans="1:24" s="117" customFormat="1" ht="150" x14ac:dyDescent="0.25">
      <c r="A110" s="288"/>
      <c r="B110" s="285"/>
      <c r="C110" s="70" t="s">
        <v>230</v>
      </c>
      <c r="D110" s="71">
        <f>Prices!D2</f>
        <v>16500</v>
      </c>
      <c r="E110" s="71">
        <v>8</v>
      </c>
      <c r="F110" s="71">
        <v>2</v>
      </c>
      <c r="G110" s="68">
        <f t="shared" si="61"/>
        <v>264000</v>
      </c>
      <c r="H110" s="85"/>
      <c r="I110" s="86"/>
      <c r="J110" s="86"/>
      <c r="K110" s="86"/>
      <c r="L110" s="87">
        <f t="shared" si="62"/>
        <v>0</v>
      </c>
      <c r="M110" s="70"/>
      <c r="N110" s="71"/>
      <c r="O110" s="71"/>
      <c r="P110" s="68">
        <f t="shared" si="63"/>
        <v>0</v>
      </c>
      <c r="Q110" s="85"/>
      <c r="R110" s="86"/>
      <c r="S110" s="86"/>
      <c r="T110" s="87">
        <f t="shared" ref="T110:T113" si="68">R110*S110</f>
        <v>0</v>
      </c>
      <c r="U110" s="107"/>
      <c r="V110" s="71"/>
      <c r="W110" s="71"/>
      <c r="X110" s="68">
        <f t="shared" si="65"/>
        <v>0</v>
      </c>
    </row>
    <row r="111" spans="1:24" s="117" customFormat="1" ht="63.6" customHeight="1" x14ac:dyDescent="0.25">
      <c r="A111" s="288"/>
      <c r="B111" s="285"/>
      <c r="C111" s="70" t="s">
        <v>109</v>
      </c>
      <c r="D111" s="71">
        <f>Prices!D2</f>
        <v>16500</v>
      </c>
      <c r="E111" s="71">
        <v>8</v>
      </c>
      <c r="F111" s="71">
        <v>3</v>
      </c>
      <c r="G111" s="68">
        <f t="shared" si="61"/>
        <v>396000</v>
      </c>
      <c r="H111" s="85"/>
      <c r="I111" s="86"/>
      <c r="J111" s="86"/>
      <c r="K111" s="86"/>
      <c r="L111" s="87">
        <f t="shared" si="62"/>
        <v>0</v>
      </c>
      <c r="M111" s="70" t="s">
        <v>110</v>
      </c>
      <c r="N111" s="71">
        <v>1</v>
      </c>
      <c r="O111" s="71">
        <v>300000</v>
      </c>
      <c r="P111" s="68">
        <f t="shared" ref="P111" si="69">N111*O111</f>
        <v>300000</v>
      </c>
      <c r="Q111" s="85"/>
      <c r="R111" s="86"/>
      <c r="S111" s="86"/>
      <c r="T111" s="87">
        <f t="shared" si="68"/>
        <v>0</v>
      </c>
      <c r="U111" s="107"/>
      <c r="V111" s="71"/>
      <c r="W111" s="71"/>
      <c r="X111" s="68">
        <f t="shared" si="65"/>
        <v>0</v>
      </c>
    </row>
    <row r="112" spans="1:24" s="117" customFormat="1" ht="45" x14ac:dyDescent="0.25">
      <c r="A112" s="288"/>
      <c r="B112" s="285"/>
      <c r="C112" s="70" t="s">
        <v>225</v>
      </c>
      <c r="D112" s="71">
        <f>Prices!D2</f>
        <v>16500</v>
      </c>
      <c r="E112" s="71">
        <v>1</v>
      </c>
      <c r="F112" s="71">
        <v>1</v>
      </c>
      <c r="G112" s="68">
        <f t="shared" si="61"/>
        <v>16500</v>
      </c>
      <c r="H112" s="85"/>
      <c r="I112" s="86"/>
      <c r="J112" s="86"/>
      <c r="K112" s="86"/>
      <c r="L112" s="87">
        <f t="shared" si="62"/>
        <v>0</v>
      </c>
      <c r="M112" s="70"/>
      <c r="N112" s="71"/>
      <c r="O112" s="71"/>
      <c r="P112" s="68">
        <f t="shared" si="63"/>
        <v>0</v>
      </c>
      <c r="Q112" s="85"/>
      <c r="R112" s="86"/>
      <c r="S112" s="86"/>
      <c r="T112" s="87">
        <f t="shared" si="68"/>
        <v>0</v>
      </c>
      <c r="U112" s="107"/>
      <c r="V112" s="71"/>
      <c r="W112" s="71"/>
      <c r="X112" s="68">
        <f t="shared" si="65"/>
        <v>0</v>
      </c>
    </row>
    <row r="113" spans="1:24" s="117" customFormat="1" ht="68.25" customHeight="1" x14ac:dyDescent="0.25">
      <c r="A113" s="288"/>
      <c r="B113" s="285"/>
      <c r="C113" s="160" t="s">
        <v>229</v>
      </c>
      <c r="D113" s="161">
        <f>Prices!D2</f>
        <v>16500</v>
      </c>
      <c r="E113" s="161">
        <v>3</v>
      </c>
      <c r="F113" s="161">
        <v>1</v>
      </c>
      <c r="G113" s="162">
        <f t="shared" si="61"/>
        <v>49500</v>
      </c>
      <c r="H113" s="85"/>
      <c r="I113" s="86"/>
      <c r="J113" s="86"/>
      <c r="K113" s="86"/>
      <c r="L113" s="87">
        <f t="shared" si="62"/>
        <v>0</v>
      </c>
      <c r="M113" s="70"/>
      <c r="N113" s="71"/>
      <c r="O113" s="71"/>
      <c r="P113" s="68">
        <f t="shared" si="63"/>
        <v>0</v>
      </c>
      <c r="Q113" s="85"/>
      <c r="R113" s="86"/>
      <c r="S113" s="86"/>
      <c r="T113" s="87">
        <f t="shared" si="68"/>
        <v>0</v>
      </c>
      <c r="U113" s="107"/>
      <c r="V113" s="71"/>
      <c r="W113" s="71"/>
      <c r="X113" s="68">
        <f t="shared" si="65"/>
        <v>0</v>
      </c>
    </row>
    <row r="114" spans="1:24" s="117" customFormat="1" ht="15" customHeight="1" x14ac:dyDescent="0.25">
      <c r="A114" s="288"/>
      <c r="B114" s="285"/>
      <c r="C114" s="70"/>
      <c r="D114" s="71"/>
      <c r="E114" s="71"/>
      <c r="F114" s="71"/>
      <c r="G114" s="68">
        <f t="shared" si="61"/>
        <v>0</v>
      </c>
      <c r="H114" s="85"/>
      <c r="I114" s="86"/>
      <c r="J114" s="86"/>
      <c r="K114" s="86"/>
      <c r="L114" s="87">
        <f t="shared" si="62"/>
        <v>0</v>
      </c>
      <c r="M114" s="70"/>
      <c r="N114" s="71"/>
      <c r="O114" s="71"/>
      <c r="P114" s="68">
        <f t="shared" si="63"/>
        <v>0</v>
      </c>
      <c r="Q114" s="85"/>
      <c r="R114" s="86"/>
      <c r="S114" s="86"/>
      <c r="T114" s="87">
        <f t="shared" si="64"/>
        <v>0</v>
      </c>
      <c r="U114" s="107"/>
      <c r="V114" s="71"/>
      <c r="W114" s="71"/>
      <c r="X114" s="68">
        <f t="shared" si="65"/>
        <v>0</v>
      </c>
    </row>
    <row r="115" spans="1:24" s="117" customFormat="1" ht="15" hidden="1" customHeight="1" thickBot="1" x14ac:dyDescent="0.3">
      <c r="A115" s="288"/>
      <c r="B115" s="285"/>
      <c r="C115" s="70"/>
      <c r="D115" s="71"/>
      <c r="E115" s="71"/>
      <c r="F115" s="71"/>
      <c r="G115" s="68">
        <f t="shared" si="61"/>
        <v>0</v>
      </c>
      <c r="H115" s="85"/>
      <c r="I115" s="86"/>
      <c r="J115" s="86"/>
      <c r="K115" s="86"/>
      <c r="L115" s="87">
        <f t="shared" si="62"/>
        <v>0</v>
      </c>
      <c r="M115" s="70"/>
      <c r="N115" s="71"/>
      <c r="O115" s="71"/>
      <c r="P115" s="68">
        <f t="shared" si="63"/>
        <v>0</v>
      </c>
      <c r="Q115" s="85"/>
      <c r="R115" s="86"/>
      <c r="S115" s="86"/>
      <c r="T115" s="87">
        <f t="shared" si="64"/>
        <v>0</v>
      </c>
      <c r="U115" s="107"/>
      <c r="V115" s="71"/>
      <c r="W115" s="71"/>
      <c r="X115" s="68">
        <f t="shared" si="65"/>
        <v>0</v>
      </c>
    </row>
    <row r="116" spans="1:24" s="117" customFormat="1" ht="15" hidden="1" customHeight="1" thickBot="1" x14ac:dyDescent="0.3">
      <c r="A116" s="288"/>
      <c r="B116" s="285"/>
      <c r="C116" s="70"/>
      <c r="D116" s="71"/>
      <c r="E116" s="71"/>
      <c r="F116" s="71"/>
      <c r="G116" s="68">
        <f t="shared" si="61"/>
        <v>0</v>
      </c>
      <c r="H116" s="85"/>
      <c r="I116" s="86"/>
      <c r="J116" s="86"/>
      <c r="K116" s="86"/>
      <c r="L116" s="87">
        <f t="shared" si="62"/>
        <v>0</v>
      </c>
      <c r="M116" s="70"/>
      <c r="N116" s="71"/>
      <c r="O116" s="71"/>
      <c r="P116" s="68">
        <f t="shared" si="63"/>
        <v>0</v>
      </c>
      <c r="Q116" s="85"/>
      <c r="R116" s="86"/>
      <c r="S116" s="86"/>
      <c r="T116" s="87">
        <f t="shared" si="64"/>
        <v>0</v>
      </c>
      <c r="U116" s="107"/>
      <c r="V116" s="71"/>
      <c r="W116" s="71"/>
      <c r="X116" s="68">
        <f t="shared" si="65"/>
        <v>0</v>
      </c>
    </row>
    <row r="117" spans="1:24" s="117" customFormat="1" ht="15" hidden="1" customHeight="1" thickBot="1" x14ac:dyDescent="0.3">
      <c r="A117" s="288"/>
      <c r="B117" s="285"/>
      <c r="C117" s="70"/>
      <c r="D117" s="71"/>
      <c r="E117" s="71"/>
      <c r="F117" s="71"/>
      <c r="G117" s="68">
        <f t="shared" si="61"/>
        <v>0</v>
      </c>
      <c r="H117" s="85"/>
      <c r="I117" s="86"/>
      <c r="J117" s="86"/>
      <c r="K117" s="86"/>
      <c r="L117" s="87">
        <f t="shared" si="62"/>
        <v>0</v>
      </c>
      <c r="M117" s="70"/>
      <c r="N117" s="71"/>
      <c r="O117" s="71"/>
      <c r="P117" s="68">
        <f t="shared" si="63"/>
        <v>0</v>
      </c>
      <c r="Q117" s="85"/>
      <c r="R117" s="86"/>
      <c r="S117" s="86"/>
      <c r="T117" s="87">
        <f t="shared" si="64"/>
        <v>0</v>
      </c>
      <c r="U117" s="107"/>
      <c r="V117" s="71"/>
      <c r="W117" s="71"/>
      <c r="X117" s="68">
        <f t="shared" si="65"/>
        <v>0</v>
      </c>
    </row>
    <row r="118" spans="1:24" s="117" customFormat="1" ht="15" hidden="1" customHeight="1" thickBot="1" x14ac:dyDescent="0.3">
      <c r="A118" s="288"/>
      <c r="B118" s="285"/>
      <c r="C118" s="70"/>
      <c r="D118" s="71"/>
      <c r="E118" s="71"/>
      <c r="F118" s="71"/>
      <c r="G118" s="68">
        <f t="shared" si="61"/>
        <v>0</v>
      </c>
      <c r="H118" s="85"/>
      <c r="I118" s="86"/>
      <c r="J118" s="86"/>
      <c r="K118" s="86"/>
      <c r="L118" s="87">
        <f t="shared" si="62"/>
        <v>0</v>
      </c>
      <c r="M118" s="70"/>
      <c r="N118" s="71"/>
      <c r="O118" s="71"/>
      <c r="P118" s="68">
        <f t="shared" si="63"/>
        <v>0</v>
      </c>
      <c r="Q118" s="85"/>
      <c r="R118" s="86"/>
      <c r="S118" s="86"/>
      <c r="T118" s="87">
        <f t="shared" si="64"/>
        <v>0</v>
      </c>
      <c r="U118" s="107"/>
      <c r="V118" s="71"/>
      <c r="W118" s="71"/>
      <c r="X118" s="68">
        <f t="shared" si="65"/>
        <v>0</v>
      </c>
    </row>
    <row r="119" spans="1:24" s="117" customFormat="1" ht="27" hidden="1" customHeight="1" thickBot="1" x14ac:dyDescent="0.3">
      <c r="A119" s="288"/>
      <c r="B119" s="285"/>
      <c r="C119" s="70"/>
      <c r="D119" s="71"/>
      <c r="E119" s="71"/>
      <c r="F119" s="71"/>
      <c r="G119" s="68">
        <f t="shared" si="61"/>
        <v>0</v>
      </c>
      <c r="H119" s="85"/>
      <c r="I119" s="86"/>
      <c r="J119" s="86"/>
      <c r="K119" s="86"/>
      <c r="L119" s="87">
        <f t="shared" si="62"/>
        <v>0</v>
      </c>
      <c r="M119" s="70"/>
      <c r="N119" s="71"/>
      <c r="O119" s="71"/>
      <c r="P119" s="68">
        <f t="shared" si="63"/>
        <v>0</v>
      </c>
      <c r="Q119" s="85"/>
      <c r="R119" s="86"/>
      <c r="S119" s="86"/>
      <c r="T119" s="87">
        <f t="shared" si="64"/>
        <v>0</v>
      </c>
      <c r="U119" s="107"/>
      <c r="V119" s="71"/>
      <c r="W119" s="71"/>
      <c r="X119" s="68">
        <f t="shared" si="65"/>
        <v>0</v>
      </c>
    </row>
    <row r="120" spans="1:24" s="117" customFormat="1" ht="19.5" customHeight="1" x14ac:dyDescent="0.25">
      <c r="A120" s="289"/>
      <c r="B120" s="286"/>
      <c r="C120" s="70"/>
      <c r="D120" s="71"/>
      <c r="E120" s="71"/>
      <c r="F120" s="71"/>
      <c r="G120" s="68">
        <f t="shared" si="61"/>
        <v>0</v>
      </c>
      <c r="H120" s="85"/>
      <c r="I120" s="86"/>
      <c r="J120" s="86"/>
      <c r="K120" s="86"/>
      <c r="L120" s="87">
        <f t="shared" si="62"/>
        <v>0</v>
      </c>
      <c r="M120" s="70"/>
      <c r="N120" s="71"/>
      <c r="O120" s="71"/>
      <c r="P120" s="68">
        <f t="shared" si="63"/>
        <v>0</v>
      </c>
      <c r="Q120" s="85"/>
      <c r="R120" s="86"/>
      <c r="S120" s="86"/>
      <c r="T120" s="87">
        <f t="shared" si="64"/>
        <v>0</v>
      </c>
      <c r="U120" s="107"/>
      <c r="V120" s="71"/>
      <c r="W120" s="71"/>
      <c r="X120" s="68">
        <f t="shared" si="65"/>
        <v>0</v>
      </c>
    </row>
    <row r="121" spans="1:24" s="117" customFormat="1" ht="54.75" customHeight="1" x14ac:dyDescent="0.25">
      <c r="A121" s="292" t="s">
        <v>244</v>
      </c>
      <c r="B121" s="296">
        <f>SUM(G121:G133)+SUM(L121:L133)+SUM(P121:P133)+SUM(T121:T133)+SUM(X121:X133)</f>
        <v>1137520</v>
      </c>
      <c r="C121" s="156" t="s">
        <v>127</v>
      </c>
      <c r="D121" s="71">
        <f>Prices!B3</f>
        <v>3080</v>
      </c>
      <c r="E121" s="71">
        <v>48</v>
      </c>
      <c r="F121" s="71">
        <v>3</v>
      </c>
      <c r="G121" s="68">
        <f t="shared" si="61"/>
        <v>443520</v>
      </c>
      <c r="H121" s="85"/>
      <c r="I121" s="86"/>
      <c r="J121" s="86"/>
      <c r="K121" s="86"/>
      <c r="L121" s="87">
        <f t="shared" si="62"/>
        <v>0</v>
      </c>
      <c r="M121" s="70" t="s">
        <v>113</v>
      </c>
      <c r="N121" s="71">
        <v>1</v>
      </c>
      <c r="O121" s="71">
        <v>100000</v>
      </c>
      <c r="P121" s="68">
        <f t="shared" si="63"/>
        <v>100000</v>
      </c>
      <c r="Q121" s="85"/>
      <c r="R121" s="86"/>
      <c r="S121" s="86"/>
      <c r="T121" s="87">
        <f t="shared" si="64"/>
        <v>0</v>
      </c>
      <c r="U121" s="107"/>
      <c r="V121" s="71"/>
      <c r="W121" s="71"/>
      <c r="X121" s="68">
        <f t="shared" si="65"/>
        <v>0</v>
      </c>
    </row>
    <row r="122" spans="1:24" s="117" customFormat="1" ht="302.25" customHeight="1" x14ac:dyDescent="0.25">
      <c r="A122" s="299"/>
      <c r="B122" s="297"/>
      <c r="C122" s="70" t="s">
        <v>283</v>
      </c>
      <c r="D122" s="71">
        <f>Prices!D2</f>
        <v>16500</v>
      </c>
      <c r="E122" s="71">
        <v>12</v>
      </c>
      <c r="F122" s="71">
        <v>3</v>
      </c>
      <c r="G122" s="68">
        <f t="shared" si="61"/>
        <v>594000</v>
      </c>
      <c r="H122" s="85"/>
      <c r="I122" s="86"/>
      <c r="J122" s="86"/>
      <c r="K122" s="86"/>
      <c r="L122" s="87">
        <f t="shared" si="62"/>
        <v>0</v>
      </c>
      <c r="M122" s="70"/>
      <c r="N122" s="71"/>
      <c r="O122" s="71"/>
      <c r="P122" s="68">
        <f t="shared" si="63"/>
        <v>0</v>
      </c>
      <c r="Q122" s="111"/>
      <c r="R122" s="86"/>
      <c r="S122" s="86"/>
      <c r="T122" s="87">
        <f t="shared" si="64"/>
        <v>0</v>
      </c>
      <c r="U122" s="70"/>
      <c r="V122" s="71"/>
      <c r="W122" s="71"/>
      <c r="X122" s="68">
        <f t="shared" si="65"/>
        <v>0</v>
      </c>
    </row>
    <row r="123" spans="1:24" s="117" customFormat="1" x14ac:dyDescent="0.25">
      <c r="A123" s="299"/>
      <c r="B123" s="297"/>
      <c r="C123" s="70"/>
      <c r="D123" s="71"/>
      <c r="E123" s="71"/>
      <c r="F123" s="71"/>
      <c r="G123" s="68">
        <f t="shared" si="61"/>
        <v>0</v>
      </c>
      <c r="H123" s="85"/>
      <c r="I123" s="86"/>
      <c r="J123" s="86"/>
      <c r="K123" s="86"/>
      <c r="L123" s="87">
        <f t="shared" si="62"/>
        <v>0</v>
      </c>
      <c r="M123" s="70"/>
      <c r="N123" s="71"/>
      <c r="O123" s="71"/>
      <c r="P123" s="68">
        <f t="shared" si="63"/>
        <v>0</v>
      </c>
      <c r="Q123" s="111"/>
      <c r="R123" s="86"/>
      <c r="S123" s="86"/>
      <c r="T123" s="87">
        <f t="shared" si="64"/>
        <v>0</v>
      </c>
      <c r="U123" s="70"/>
      <c r="V123" s="71"/>
      <c r="W123" s="71"/>
      <c r="X123" s="68">
        <f t="shared" si="65"/>
        <v>0</v>
      </c>
    </row>
    <row r="124" spans="1:24" s="117" customFormat="1" x14ac:dyDescent="0.25">
      <c r="A124" s="299"/>
      <c r="B124" s="297"/>
      <c r="C124" s="70"/>
      <c r="D124" s="71"/>
      <c r="E124" s="71"/>
      <c r="F124" s="71"/>
      <c r="G124" s="68">
        <f t="shared" si="61"/>
        <v>0</v>
      </c>
      <c r="H124" s="85"/>
      <c r="I124" s="86"/>
      <c r="J124" s="86"/>
      <c r="K124" s="86"/>
      <c r="L124" s="87">
        <f t="shared" si="62"/>
        <v>0</v>
      </c>
      <c r="M124" s="70"/>
      <c r="N124" s="71"/>
      <c r="O124" s="71"/>
      <c r="P124" s="68">
        <f t="shared" si="63"/>
        <v>0</v>
      </c>
      <c r="Q124" s="86"/>
      <c r="R124" s="86"/>
      <c r="S124" s="86"/>
      <c r="T124" s="86"/>
      <c r="U124" s="71"/>
      <c r="V124" s="71"/>
      <c r="W124" s="71"/>
      <c r="X124" s="71"/>
    </row>
    <row r="125" spans="1:24" s="117" customFormat="1" hidden="1" x14ac:dyDescent="0.25">
      <c r="A125" s="299"/>
      <c r="B125" s="297"/>
      <c r="C125" s="70"/>
      <c r="D125" s="71"/>
      <c r="E125" s="71"/>
      <c r="F125" s="71"/>
      <c r="G125" s="68">
        <f t="shared" si="61"/>
        <v>0</v>
      </c>
      <c r="H125" s="85"/>
      <c r="I125" s="86"/>
      <c r="J125" s="86"/>
      <c r="K125" s="86"/>
      <c r="L125" s="87">
        <f t="shared" si="62"/>
        <v>0</v>
      </c>
      <c r="M125" s="70"/>
      <c r="N125" s="71"/>
      <c r="O125" s="71"/>
      <c r="P125" s="68">
        <f>N125*O125</f>
        <v>0</v>
      </c>
      <c r="Q125" s="86"/>
      <c r="R125" s="86"/>
      <c r="S125" s="86"/>
      <c r="T125" s="86"/>
      <c r="U125" s="71"/>
      <c r="V125" s="71"/>
      <c r="W125" s="71"/>
      <c r="X125" s="71"/>
    </row>
    <row r="126" spans="1:24" s="117" customFormat="1" ht="14.25" hidden="1" customHeight="1" x14ac:dyDescent="0.25">
      <c r="A126" s="299"/>
      <c r="B126" s="297"/>
      <c r="C126" s="70"/>
      <c r="D126" s="71"/>
      <c r="E126" s="71"/>
      <c r="F126" s="71"/>
      <c r="G126" s="68">
        <f t="shared" si="61"/>
        <v>0</v>
      </c>
      <c r="H126" s="85"/>
      <c r="I126" s="86"/>
      <c r="J126" s="86"/>
      <c r="K126" s="86"/>
      <c r="L126" s="87">
        <f t="shared" si="62"/>
        <v>0</v>
      </c>
      <c r="M126" s="70"/>
      <c r="N126" s="71"/>
      <c r="O126" s="71"/>
      <c r="P126" s="68">
        <f>N126*O126</f>
        <v>0</v>
      </c>
      <c r="Q126" s="111"/>
      <c r="R126" s="86"/>
      <c r="S126" s="86"/>
      <c r="T126" s="87">
        <f t="shared" si="64"/>
        <v>0</v>
      </c>
      <c r="U126" s="70"/>
      <c r="V126" s="71"/>
      <c r="W126" s="71"/>
      <c r="X126" s="68">
        <f t="shared" ref="X126" si="70">V126*W126</f>
        <v>0</v>
      </c>
    </row>
    <row r="127" spans="1:24" s="117" customFormat="1" hidden="1" x14ac:dyDescent="0.25">
      <c r="A127" s="299"/>
      <c r="B127" s="297"/>
      <c r="C127" s="70"/>
      <c r="D127" s="71"/>
      <c r="E127" s="71"/>
      <c r="F127" s="71"/>
      <c r="G127" s="68">
        <f t="shared" si="61"/>
        <v>0</v>
      </c>
      <c r="H127" s="85"/>
      <c r="I127" s="86"/>
      <c r="J127" s="86"/>
      <c r="K127" s="86"/>
      <c r="L127" s="87">
        <f t="shared" si="62"/>
        <v>0</v>
      </c>
      <c r="M127" s="70"/>
      <c r="N127" s="71"/>
      <c r="O127" s="71"/>
      <c r="P127" s="68">
        <f t="shared" si="63"/>
        <v>0</v>
      </c>
      <c r="Q127" s="111"/>
      <c r="R127" s="86"/>
      <c r="S127" s="86"/>
      <c r="T127" s="87">
        <f>R127*S127</f>
        <v>0</v>
      </c>
      <c r="U127" s="70"/>
      <c r="V127" s="71"/>
      <c r="W127" s="71"/>
      <c r="X127" s="68">
        <f>V127*W127</f>
        <v>0</v>
      </c>
    </row>
    <row r="128" spans="1:24" s="117" customFormat="1" hidden="1" x14ac:dyDescent="0.25">
      <c r="A128" s="299"/>
      <c r="B128" s="297"/>
      <c r="C128" s="70"/>
      <c r="D128" s="71"/>
      <c r="E128" s="71"/>
      <c r="F128" s="71"/>
      <c r="G128" s="68">
        <f t="shared" si="61"/>
        <v>0</v>
      </c>
      <c r="H128" s="85"/>
      <c r="I128" s="86"/>
      <c r="J128" s="86"/>
      <c r="K128" s="86"/>
      <c r="L128" s="87">
        <f t="shared" si="62"/>
        <v>0</v>
      </c>
      <c r="M128" s="70"/>
      <c r="N128" s="71"/>
      <c r="O128" s="71"/>
      <c r="P128" s="68">
        <f t="shared" si="63"/>
        <v>0</v>
      </c>
      <c r="Q128" s="111"/>
      <c r="R128" s="86"/>
      <c r="S128" s="86"/>
      <c r="T128" s="87">
        <f>R128*S128</f>
        <v>0</v>
      </c>
      <c r="U128" s="70"/>
      <c r="V128" s="71"/>
      <c r="W128" s="71"/>
      <c r="X128" s="68">
        <f>V128*W128</f>
        <v>0</v>
      </c>
    </row>
    <row r="129" spans="1:24" s="117" customFormat="1" hidden="1" x14ac:dyDescent="0.25">
      <c r="A129" s="299"/>
      <c r="B129" s="297"/>
      <c r="C129" s="70"/>
      <c r="D129" s="71"/>
      <c r="E129" s="71"/>
      <c r="F129" s="71"/>
      <c r="G129" s="68">
        <f t="shared" si="61"/>
        <v>0</v>
      </c>
      <c r="H129" s="85"/>
      <c r="I129" s="86"/>
      <c r="J129" s="86"/>
      <c r="K129" s="86"/>
      <c r="L129" s="87">
        <f t="shared" si="62"/>
        <v>0</v>
      </c>
      <c r="M129" s="70"/>
      <c r="N129" s="71"/>
      <c r="O129" s="71"/>
      <c r="P129" s="68">
        <f t="shared" si="63"/>
        <v>0</v>
      </c>
      <c r="Q129" s="85"/>
      <c r="R129" s="86"/>
      <c r="S129" s="86"/>
      <c r="T129" s="87">
        <f>R129*S129</f>
        <v>0</v>
      </c>
      <c r="U129" s="107"/>
      <c r="V129" s="71"/>
      <c r="W129" s="71"/>
      <c r="X129" s="68">
        <f>V129*W129</f>
        <v>0</v>
      </c>
    </row>
    <row r="130" spans="1:24" s="117" customFormat="1" ht="14.25" hidden="1" customHeight="1" x14ac:dyDescent="0.25">
      <c r="A130" s="299"/>
      <c r="B130" s="297"/>
      <c r="C130" s="70"/>
      <c r="D130" s="71"/>
      <c r="E130" s="71"/>
      <c r="F130" s="71"/>
      <c r="G130" s="68">
        <f t="shared" si="61"/>
        <v>0</v>
      </c>
      <c r="H130" s="85"/>
      <c r="I130" s="86"/>
      <c r="J130" s="86"/>
      <c r="K130" s="86"/>
      <c r="L130" s="87">
        <f t="shared" si="62"/>
        <v>0</v>
      </c>
      <c r="M130" s="70"/>
      <c r="N130" s="71"/>
      <c r="O130" s="71"/>
      <c r="P130" s="68">
        <f t="shared" si="63"/>
        <v>0</v>
      </c>
      <c r="Q130" s="85"/>
      <c r="R130" s="86"/>
      <c r="S130" s="86"/>
      <c r="T130" s="87">
        <f t="shared" ref="T130:T134" si="71">R130*S130</f>
        <v>0</v>
      </c>
      <c r="U130" s="107"/>
      <c r="V130" s="71"/>
      <c r="W130" s="71"/>
      <c r="X130" s="68">
        <f t="shared" ref="X130:X142" si="72">V130*W130</f>
        <v>0</v>
      </c>
    </row>
    <row r="131" spans="1:24" s="117" customFormat="1" hidden="1" x14ac:dyDescent="0.25">
      <c r="A131" s="299"/>
      <c r="B131" s="297"/>
      <c r="C131" s="70"/>
      <c r="D131" s="71"/>
      <c r="E131" s="71"/>
      <c r="F131" s="71"/>
      <c r="G131" s="68">
        <f t="shared" si="61"/>
        <v>0</v>
      </c>
      <c r="H131" s="85"/>
      <c r="I131" s="86"/>
      <c r="J131" s="86"/>
      <c r="K131" s="86"/>
      <c r="L131" s="87">
        <f t="shared" si="62"/>
        <v>0</v>
      </c>
      <c r="M131" s="70"/>
      <c r="N131" s="71"/>
      <c r="O131" s="71"/>
      <c r="P131" s="68">
        <f t="shared" si="63"/>
        <v>0</v>
      </c>
      <c r="Q131" s="85"/>
      <c r="R131" s="86"/>
      <c r="S131" s="86"/>
      <c r="T131" s="87">
        <f t="shared" si="71"/>
        <v>0</v>
      </c>
      <c r="U131" s="107"/>
      <c r="V131" s="71"/>
      <c r="W131" s="71"/>
      <c r="X131" s="68">
        <f t="shared" si="72"/>
        <v>0</v>
      </c>
    </row>
    <row r="132" spans="1:24" s="117" customFormat="1" ht="25.5" hidden="1" customHeight="1" x14ac:dyDescent="0.25">
      <c r="A132" s="299"/>
      <c r="B132" s="297"/>
      <c r="C132" s="70"/>
      <c r="D132" s="71"/>
      <c r="E132" s="71"/>
      <c r="F132" s="71"/>
      <c r="G132" s="68">
        <f t="shared" si="61"/>
        <v>0</v>
      </c>
      <c r="H132" s="85"/>
      <c r="I132" s="86"/>
      <c r="J132" s="86"/>
      <c r="K132" s="86"/>
      <c r="L132" s="87">
        <f t="shared" si="62"/>
        <v>0</v>
      </c>
      <c r="M132" s="70"/>
      <c r="N132" s="71"/>
      <c r="O132" s="71"/>
      <c r="P132" s="68">
        <f t="shared" si="63"/>
        <v>0</v>
      </c>
      <c r="Q132" s="85"/>
      <c r="R132" s="86"/>
      <c r="S132" s="86"/>
      <c r="T132" s="87">
        <f t="shared" si="71"/>
        <v>0</v>
      </c>
      <c r="U132" s="107"/>
      <c r="V132" s="71"/>
      <c r="W132" s="71"/>
      <c r="X132" s="68">
        <f t="shared" si="72"/>
        <v>0</v>
      </c>
    </row>
    <row r="133" spans="1:24" s="117" customFormat="1" ht="18.75" hidden="1" customHeight="1" x14ac:dyDescent="0.25">
      <c r="A133" s="300"/>
      <c r="B133" s="298"/>
      <c r="C133" s="70"/>
      <c r="D133" s="71"/>
      <c r="E133" s="71"/>
      <c r="F133" s="71"/>
      <c r="G133" s="68">
        <f t="shared" si="61"/>
        <v>0</v>
      </c>
      <c r="H133" s="85"/>
      <c r="I133" s="86"/>
      <c r="J133" s="86"/>
      <c r="K133" s="86"/>
      <c r="L133" s="87">
        <f t="shared" si="62"/>
        <v>0</v>
      </c>
      <c r="M133" s="70"/>
      <c r="N133" s="71"/>
      <c r="O133" s="71"/>
      <c r="P133" s="68">
        <f t="shared" si="63"/>
        <v>0</v>
      </c>
      <c r="Q133" s="85"/>
      <c r="R133" s="86"/>
      <c r="S133" s="86"/>
      <c r="T133" s="87">
        <f t="shared" si="71"/>
        <v>0</v>
      </c>
      <c r="U133" s="107"/>
      <c r="V133" s="71"/>
      <c r="W133" s="71"/>
      <c r="X133" s="68">
        <f t="shared" si="72"/>
        <v>0</v>
      </c>
    </row>
    <row r="134" spans="1:24" s="117" customFormat="1" ht="65.25" customHeight="1" x14ac:dyDescent="0.25">
      <c r="A134" s="292" t="s">
        <v>298</v>
      </c>
      <c r="B134" s="296">
        <f>SUM(G134:G142)++SUM(L134:L142)+SUM(P134:P142)+SUM(T134:T142)+SUM(X134:X142)</f>
        <v>751760</v>
      </c>
      <c r="C134" s="156" t="s">
        <v>209</v>
      </c>
      <c r="D134" s="71">
        <f>Prices!B3</f>
        <v>3080</v>
      </c>
      <c r="E134" s="71">
        <v>24</v>
      </c>
      <c r="F134" s="71">
        <v>3</v>
      </c>
      <c r="G134" s="68">
        <f t="shared" si="61"/>
        <v>221760</v>
      </c>
      <c r="H134" s="85"/>
      <c r="I134" s="86"/>
      <c r="J134" s="86"/>
      <c r="K134" s="86"/>
      <c r="L134" s="87">
        <f t="shared" si="62"/>
        <v>0</v>
      </c>
      <c r="M134" s="70" t="s">
        <v>118</v>
      </c>
      <c r="N134" s="71">
        <v>1</v>
      </c>
      <c r="O134" s="71">
        <v>100000</v>
      </c>
      <c r="P134" s="68">
        <f t="shared" si="63"/>
        <v>100000</v>
      </c>
      <c r="Q134" s="85"/>
      <c r="R134" s="86"/>
      <c r="S134" s="86"/>
      <c r="T134" s="87">
        <f t="shared" si="71"/>
        <v>0</v>
      </c>
      <c r="U134" s="107"/>
      <c r="V134" s="71"/>
      <c r="W134" s="71"/>
      <c r="X134" s="68">
        <f t="shared" si="72"/>
        <v>0</v>
      </c>
    </row>
    <row r="135" spans="1:24" s="117" customFormat="1" ht="154.5" customHeight="1" x14ac:dyDescent="0.25">
      <c r="A135" s="299"/>
      <c r="B135" s="297"/>
      <c r="C135" s="70" t="s">
        <v>114</v>
      </c>
      <c r="D135" s="71">
        <f>Prices!D2</f>
        <v>16500</v>
      </c>
      <c r="E135" s="71">
        <v>5</v>
      </c>
      <c r="F135" s="71">
        <v>2</v>
      </c>
      <c r="G135" s="68">
        <f t="shared" si="61"/>
        <v>165000</v>
      </c>
      <c r="H135" s="85"/>
      <c r="I135" s="86"/>
      <c r="J135" s="86"/>
      <c r="K135" s="86"/>
      <c r="L135" s="87">
        <f t="shared" si="62"/>
        <v>0</v>
      </c>
      <c r="M135" s="70" t="s">
        <v>115</v>
      </c>
      <c r="N135" s="71">
        <v>1</v>
      </c>
      <c r="O135" s="71">
        <v>50000</v>
      </c>
      <c r="P135" s="68">
        <f t="shared" si="63"/>
        <v>50000</v>
      </c>
      <c r="Q135" s="85"/>
      <c r="R135" s="86"/>
      <c r="S135" s="86"/>
      <c r="T135" s="87">
        <f t="shared" si="64"/>
        <v>0</v>
      </c>
      <c r="U135" s="107"/>
      <c r="V135" s="71"/>
      <c r="W135" s="71"/>
      <c r="X135" s="68">
        <f t="shared" si="72"/>
        <v>0</v>
      </c>
    </row>
    <row r="136" spans="1:24" s="117" customFormat="1" ht="45" x14ac:dyDescent="0.25">
      <c r="A136" s="299"/>
      <c r="B136" s="297"/>
      <c r="C136" s="70" t="s">
        <v>117</v>
      </c>
      <c r="D136" s="71">
        <f>Prices!D2</f>
        <v>16500</v>
      </c>
      <c r="E136" s="71">
        <v>5</v>
      </c>
      <c r="F136" s="71">
        <v>2</v>
      </c>
      <c r="G136" s="68">
        <f t="shared" si="61"/>
        <v>165000</v>
      </c>
      <c r="H136" s="85"/>
      <c r="I136" s="86"/>
      <c r="J136" s="86"/>
      <c r="K136" s="86"/>
      <c r="L136" s="87">
        <f t="shared" si="62"/>
        <v>0</v>
      </c>
      <c r="M136" s="70" t="s">
        <v>116</v>
      </c>
      <c r="N136" s="71">
        <v>1</v>
      </c>
      <c r="O136" s="71">
        <v>50000</v>
      </c>
      <c r="P136" s="68">
        <f t="shared" si="63"/>
        <v>50000</v>
      </c>
      <c r="Q136" s="85"/>
      <c r="R136" s="86"/>
      <c r="S136" s="86"/>
      <c r="T136" s="87">
        <f t="shared" si="64"/>
        <v>0</v>
      </c>
      <c r="U136" s="107"/>
      <c r="V136" s="71"/>
      <c r="W136" s="71"/>
      <c r="X136" s="68">
        <f t="shared" si="72"/>
        <v>0</v>
      </c>
    </row>
    <row r="137" spans="1:24" s="117" customFormat="1" ht="60.6" customHeight="1" x14ac:dyDescent="0.25">
      <c r="A137" s="299"/>
      <c r="B137" s="297"/>
      <c r="C137" s="70"/>
      <c r="D137" s="71"/>
      <c r="E137" s="71"/>
      <c r="F137" s="71"/>
      <c r="G137" s="68">
        <f t="shared" si="61"/>
        <v>0</v>
      </c>
      <c r="H137" s="85"/>
      <c r="I137" s="86"/>
      <c r="J137" s="86"/>
      <c r="K137" s="86"/>
      <c r="L137" s="87">
        <f t="shared" si="62"/>
        <v>0</v>
      </c>
      <c r="M137" s="70"/>
      <c r="N137" s="71"/>
      <c r="O137" s="71"/>
      <c r="P137" s="68">
        <f t="shared" si="63"/>
        <v>0</v>
      </c>
      <c r="Q137" s="85"/>
      <c r="R137" s="86"/>
      <c r="S137" s="86"/>
      <c r="T137" s="87">
        <f t="shared" si="64"/>
        <v>0</v>
      </c>
      <c r="U137" s="107"/>
      <c r="V137" s="71"/>
      <c r="W137" s="71"/>
      <c r="X137" s="68">
        <f t="shared" si="72"/>
        <v>0</v>
      </c>
    </row>
    <row r="138" spans="1:24" s="117" customFormat="1" ht="15" hidden="1" customHeight="1" x14ac:dyDescent="0.25">
      <c r="A138" s="299"/>
      <c r="B138" s="297"/>
      <c r="C138" s="70"/>
      <c r="D138" s="71"/>
      <c r="E138" s="71"/>
      <c r="F138" s="71"/>
      <c r="G138" s="68">
        <f t="shared" si="61"/>
        <v>0</v>
      </c>
      <c r="H138" s="85"/>
      <c r="I138" s="86"/>
      <c r="J138" s="86"/>
      <c r="K138" s="86"/>
      <c r="L138" s="87">
        <f t="shared" si="62"/>
        <v>0</v>
      </c>
      <c r="M138" s="70"/>
      <c r="N138" s="71"/>
      <c r="O138" s="71"/>
      <c r="P138" s="68">
        <f t="shared" si="63"/>
        <v>0</v>
      </c>
      <c r="Q138" s="85"/>
      <c r="R138" s="86"/>
      <c r="S138" s="86"/>
      <c r="T138" s="87">
        <f t="shared" si="64"/>
        <v>0</v>
      </c>
      <c r="U138" s="107"/>
      <c r="V138" s="71"/>
      <c r="W138" s="71"/>
      <c r="X138" s="68">
        <f t="shared" si="72"/>
        <v>0</v>
      </c>
    </row>
    <row r="139" spans="1:24" s="117" customFormat="1" ht="15" hidden="1" customHeight="1" x14ac:dyDescent="0.25">
      <c r="A139" s="299"/>
      <c r="B139" s="297"/>
      <c r="C139" s="70"/>
      <c r="D139" s="71"/>
      <c r="E139" s="71"/>
      <c r="F139" s="71"/>
      <c r="G139" s="68">
        <f t="shared" si="61"/>
        <v>0</v>
      </c>
      <c r="H139" s="85"/>
      <c r="I139" s="86"/>
      <c r="J139" s="86"/>
      <c r="K139" s="86"/>
      <c r="L139" s="87">
        <f t="shared" si="62"/>
        <v>0</v>
      </c>
      <c r="M139" s="70"/>
      <c r="N139" s="71"/>
      <c r="O139" s="71"/>
      <c r="P139" s="68">
        <f t="shared" si="63"/>
        <v>0</v>
      </c>
      <c r="Q139" s="85"/>
      <c r="R139" s="86"/>
      <c r="S139" s="86"/>
      <c r="T139" s="87">
        <f t="shared" si="64"/>
        <v>0</v>
      </c>
      <c r="U139" s="107"/>
      <c r="V139" s="71"/>
      <c r="W139" s="71"/>
      <c r="X139" s="68">
        <f t="shared" si="72"/>
        <v>0</v>
      </c>
    </row>
    <row r="140" spans="1:24" s="117" customFormat="1" ht="15" hidden="1" customHeight="1" x14ac:dyDescent="0.25">
      <c r="A140" s="299"/>
      <c r="B140" s="297"/>
      <c r="C140" s="70"/>
      <c r="D140" s="71"/>
      <c r="E140" s="71"/>
      <c r="F140" s="71"/>
      <c r="G140" s="68">
        <f t="shared" si="61"/>
        <v>0</v>
      </c>
      <c r="H140" s="85"/>
      <c r="I140" s="86"/>
      <c r="J140" s="86"/>
      <c r="K140" s="86"/>
      <c r="L140" s="87">
        <f t="shared" si="62"/>
        <v>0</v>
      </c>
      <c r="M140" s="70"/>
      <c r="N140" s="71"/>
      <c r="O140" s="71"/>
      <c r="P140" s="68">
        <f t="shared" si="63"/>
        <v>0</v>
      </c>
      <c r="Q140" s="85"/>
      <c r="R140" s="86"/>
      <c r="S140" s="86"/>
      <c r="T140" s="87">
        <f t="shared" si="64"/>
        <v>0</v>
      </c>
      <c r="U140" s="107"/>
      <c r="V140" s="71"/>
      <c r="W140" s="71"/>
      <c r="X140" s="68">
        <f t="shared" si="72"/>
        <v>0</v>
      </c>
    </row>
    <row r="141" spans="1:24" s="117" customFormat="1" ht="15" hidden="1" customHeight="1" x14ac:dyDescent="0.25">
      <c r="A141" s="299"/>
      <c r="B141" s="297"/>
      <c r="C141" s="70"/>
      <c r="D141" s="71"/>
      <c r="E141" s="71"/>
      <c r="F141" s="71"/>
      <c r="G141" s="68">
        <f t="shared" si="61"/>
        <v>0</v>
      </c>
      <c r="H141" s="85"/>
      <c r="I141" s="86"/>
      <c r="J141" s="86"/>
      <c r="K141" s="86"/>
      <c r="L141" s="87">
        <f t="shared" si="62"/>
        <v>0</v>
      </c>
      <c r="M141" s="70"/>
      <c r="N141" s="71"/>
      <c r="O141" s="71"/>
      <c r="P141" s="68">
        <f t="shared" si="63"/>
        <v>0</v>
      </c>
      <c r="Q141" s="85"/>
      <c r="R141" s="86"/>
      <c r="S141" s="86"/>
      <c r="T141" s="87">
        <f t="shared" si="64"/>
        <v>0</v>
      </c>
      <c r="U141" s="107"/>
      <c r="V141" s="71"/>
      <c r="W141" s="71"/>
      <c r="X141" s="68">
        <f t="shared" si="72"/>
        <v>0</v>
      </c>
    </row>
    <row r="142" spans="1:24" s="117" customFormat="1" ht="29.25" hidden="1" customHeight="1" x14ac:dyDescent="0.25">
      <c r="A142" s="300"/>
      <c r="B142" s="298"/>
      <c r="C142" s="70"/>
      <c r="D142" s="71"/>
      <c r="E142" s="71"/>
      <c r="F142" s="71"/>
      <c r="G142" s="68">
        <f t="shared" si="61"/>
        <v>0</v>
      </c>
      <c r="H142" s="85"/>
      <c r="I142" s="86"/>
      <c r="J142" s="86"/>
      <c r="K142" s="86"/>
      <c r="L142" s="87">
        <f t="shared" si="62"/>
        <v>0</v>
      </c>
      <c r="M142" s="70"/>
      <c r="N142" s="71"/>
      <c r="O142" s="71"/>
      <c r="P142" s="68">
        <f t="shared" si="63"/>
        <v>0</v>
      </c>
      <c r="Q142" s="85"/>
      <c r="R142" s="86"/>
      <c r="S142" s="86"/>
      <c r="T142" s="87">
        <f t="shared" si="64"/>
        <v>0</v>
      </c>
      <c r="U142" s="107"/>
      <c r="V142" s="71"/>
      <c r="W142" s="71"/>
      <c r="X142" s="68">
        <f t="shared" si="72"/>
        <v>0</v>
      </c>
    </row>
    <row r="143" spans="1:24" s="117" customFormat="1" ht="41.45" customHeight="1" x14ac:dyDescent="0.25">
      <c r="A143" s="301" t="s">
        <v>297</v>
      </c>
      <c r="B143" s="303">
        <f>SUM(G143:G148)+SUM(L143:L148)+SUM(P143:P148)+SUM(T143:T148)+SUM(X143:X148)</f>
        <v>1364461.6</v>
      </c>
      <c r="C143" s="70" t="s">
        <v>135</v>
      </c>
      <c r="D143" s="71">
        <f>Prices!D2</f>
        <v>16500</v>
      </c>
      <c r="E143" s="71">
        <v>3</v>
      </c>
      <c r="F143" s="71">
        <v>1</v>
      </c>
      <c r="G143" s="68">
        <f t="shared" si="61"/>
        <v>49500</v>
      </c>
      <c r="H143" s="85" t="s">
        <v>211</v>
      </c>
      <c r="I143" s="86">
        <f>Prices!D4</f>
        <v>20354.399999999998</v>
      </c>
      <c r="J143" s="86">
        <v>2</v>
      </c>
      <c r="K143" s="86">
        <v>3</v>
      </c>
      <c r="L143" s="87">
        <f t="shared" si="62"/>
        <v>122126.39999999999</v>
      </c>
      <c r="M143" s="70" t="s">
        <v>286</v>
      </c>
      <c r="N143" s="71">
        <v>700000</v>
      </c>
      <c r="O143" s="71">
        <v>1</v>
      </c>
      <c r="P143" s="68">
        <f>N143*O143</f>
        <v>700000</v>
      </c>
      <c r="Q143" s="164"/>
      <c r="R143" s="86"/>
      <c r="S143" s="86"/>
      <c r="T143" s="87">
        <f t="shared" ref="T143:T145" si="73">R143*S143</f>
        <v>0</v>
      </c>
      <c r="U143" s="107"/>
      <c r="V143" s="71"/>
      <c r="W143" s="71"/>
      <c r="X143" s="68">
        <f t="shared" ref="X143:X145" si="74">V143*W143</f>
        <v>0</v>
      </c>
    </row>
    <row r="144" spans="1:24" s="117" customFormat="1" ht="30" x14ac:dyDescent="0.25">
      <c r="A144" s="334"/>
      <c r="B144" s="335"/>
      <c r="C144" s="70" t="s">
        <v>210</v>
      </c>
      <c r="D144" s="71">
        <f>Prices!D2</f>
        <v>16500</v>
      </c>
      <c r="E144" s="71">
        <v>6</v>
      </c>
      <c r="F144" s="71">
        <v>1</v>
      </c>
      <c r="G144" s="68">
        <f t="shared" si="61"/>
        <v>99000</v>
      </c>
      <c r="H144" s="85" t="s">
        <v>137</v>
      </c>
      <c r="I144" s="86">
        <f>Prices!D4</f>
        <v>20354.399999999998</v>
      </c>
      <c r="J144" s="86">
        <v>4</v>
      </c>
      <c r="K144" s="86">
        <v>2</v>
      </c>
      <c r="L144" s="87">
        <f t="shared" si="62"/>
        <v>162835.19999999998</v>
      </c>
      <c r="M144" s="70"/>
      <c r="N144" s="71"/>
      <c r="O144" s="71"/>
      <c r="P144" s="68">
        <f t="shared" ref="P144:P145" si="75">N144*O144</f>
        <v>0</v>
      </c>
      <c r="Q144" s="85"/>
      <c r="R144" s="86"/>
      <c r="S144" s="86"/>
      <c r="T144" s="87">
        <f t="shared" si="73"/>
        <v>0</v>
      </c>
      <c r="U144" s="107"/>
      <c r="V144" s="71"/>
      <c r="W144" s="71"/>
      <c r="X144" s="68">
        <f t="shared" si="74"/>
        <v>0</v>
      </c>
    </row>
    <row r="145" spans="1:24" s="117" customFormat="1" ht="15" customHeight="1" x14ac:dyDescent="0.25">
      <c r="A145" s="334"/>
      <c r="B145" s="335"/>
      <c r="C145" s="70" t="s">
        <v>136</v>
      </c>
      <c r="D145" s="71">
        <f>Prices!D2</f>
        <v>16500</v>
      </c>
      <c r="E145" s="71">
        <v>2</v>
      </c>
      <c r="F145" s="71">
        <v>1</v>
      </c>
      <c r="G145" s="68">
        <f t="shared" si="61"/>
        <v>33000</v>
      </c>
      <c r="H145" s="85"/>
      <c r="I145" s="86"/>
      <c r="J145" s="86"/>
      <c r="K145" s="86"/>
      <c r="L145" s="87">
        <f t="shared" si="62"/>
        <v>0</v>
      </c>
      <c r="M145" s="70"/>
      <c r="N145" s="71"/>
      <c r="O145" s="71"/>
      <c r="P145" s="68">
        <f t="shared" si="75"/>
        <v>0</v>
      </c>
      <c r="Q145" s="85"/>
      <c r="R145" s="86"/>
      <c r="S145" s="86"/>
      <c r="T145" s="87">
        <f t="shared" si="73"/>
        <v>0</v>
      </c>
      <c r="U145" s="107"/>
      <c r="V145" s="71"/>
      <c r="W145" s="71"/>
      <c r="X145" s="68">
        <f t="shared" si="74"/>
        <v>0</v>
      </c>
    </row>
    <row r="146" spans="1:24" s="117" customFormat="1" ht="45" x14ac:dyDescent="0.25">
      <c r="A146" s="334"/>
      <c r="B146" s="335"/>
      <c r="C146" s="70" t="s">
        <v>218</v>
      </c>
      <c r="D146" s="71">
        <f>Prices!D2</f>
        <v>16500</v>
      </c>
      <c r="E146" s="71">
        <v>6</v>
      </c>
      <c r="F146" s="71">
        <v>2</v>
      </c>
      <c r="G146" s="68">
        <f t="shared" si="61"/>
        <v>198000</v>
      </c>
      <c r="H146" s="85"/>
      <c r="I146" s="86"/>
      <c r="J146" s="86"/>
      <c r="K146" s="86"/>
      <c r="L146" s="87">
        <f t="shared" si="62"/>
        <v>0</v>
      </c>
      <c r="M146" s="70"/>
      <c r="N146" s="71"/>
      <c r="O146" s="71"/>
      <c r="P146" s="68"/>
      <c r="Q146" s="85"/>
      <c r="R146" s="86"/>
      <c r="S146" s="86"/>
      <c r="T146" s="87"/>
      <c r="U146" s="107"/>
      <c r="V146" s="71"/>
      <c r="W146" s="71"/>
      <c r="X146" s="68"/>
    </row>
    <row r="147" spans="1:24" s="117" customFormat="1" ht="15" customHeight="1" x14ac:dyDescent="0.25">
      <c r="A147" s="334"/>
      <c r="B147" s="335"/>
      <c r="C147" s="70"/>
      <c r="D147" s="71"/>
      <c r="E147" s="71"/>
      <c r="F147" s="71"/>
      <c r="G147" s="68">
        <f t="shared" si="61"/>
        <v>0</v>
      </c>
      <c r="H147" s="85"/>
      <c r="I147" s="86"/>
      <c r="J147" s="86"/>
      <c r="K147" s="86"/>
      <c r="L147" s="87">
        <f t="shared" si="62"/>
        <v>0</v>
      </c>
      <c r="M147" s="70"/>
      <c r="N147" s="71"/>
      <c r="O147" s="71"/>
      <c r="P147" s="68"/>
      <c r="Q147" s="85"/>
      <c r="R147" s="86"/>
      <c r="S147" s="86"/>
      <c r="T147" s="87"/>
      <c r="U147" s="107"/>
      <c r="V147" s="71"/>
      <c r="W147" s="71"/>
      <c r="X147" s="68"/>
    </row>
    <row r="148" spans="1:24" s="117" customFormat="1" ht="15" customHeight="1" x14ac:dyDescent="0.25">
      <c r="A148" s="334"/>
      <c r="B148" s="335"/>
      <c r="C148" s="70"/>
      <c r="D148" s="71"/>
      <c r="E148" s="71"/>
      <c r="F148" s="71"/>
      <c r="G148" s="68">
        <f t="shared" si="61"/>
        <v>0</v>
      </c>
      <c r="H148" s="85"/>
      <c r="I148" s="86"/>
      <c r="J148" s="86"/>
      <c r="K148" s="86"/>
      <c r="L148" s="87">
        <f t="shared" si="62"/>
        <v>0</v>
      </c>
      <c r="M148" s="70"/>
      <c r="N148" s="71"/>
      <c r="O148" s="71"/>
      <c r="P148" s="68"/>
      <c r="Q148" s="85"/>
      <c r="R148" s="86"/>
      <c r="S148" s="86"/>
      <c r="T148" s="87"/>
      <c r="U148" s="107"/>
      <c r="V148" s="71"/>
      <c r="W148" s="71"/>
      <c r="X148" s="68"/>
    </row>
    <row r="149" spans="1:24" s="117" customFormat="1" ht="126.75" customHeight="1" x14ac:dyDescent="0.25">
      <c r="A149" s="301" t="s">
        <v>271</v>
      </c>
      <c r="B149" s="303">
        <f>SUM(G149:G157)++SUM(L149:L157)+SUM(P149:P157)+SUM(T149:T157)+SUM(X149:X157)</f>
        <v>530000</v>
      </c>
      <c r="C149" s="70" t="s">
        <v>121</v>
      </c>
      <c r="D149" s="71">
        <f>Prices!D2</f>
        <v>16500</v>
      </c>
      <c r="E149" s="71">
        <v>6</v>
      </c>
      <c r="F149" s="71">
        <v>2</v>
      </c>
      <c r="G149" s="68">
        <f t="shared" si="61"/>
        <v>198000</v>
      </c>
      <c r="H149" s="85"/>
      <c r="I149" s="86"/>
      <c r="J149" s="86"/>
      <c r="K149" s="86"/>
      <c r="L149" s="87">
        <f t="shared" si="62"/>
        <v>0</v>
      </c>
      <c r="M149" s="70"/>
      <c r="N149" s="71"/>
      <c r="O149" s="71"/>
      <c r="P149" s="68">
        <f t="shared" ref="P149:P157" si="76">N149*O149</f>
        <v>0</v>
      </c>
      <c r="Q149" s="85"/>
      <c r="R149" s="86"/>
      <c r="S149" s="86"/>
      <c r="T149" s="87">
        <f t="shared" si="64"/>
        <v>0</v>
      </c>
      <c r="U149" s="107"/>
      <c r="V149" s="71"/>
      <c r="W149" s="71"/>
      <c r="X149" s="68">
        <f t="shared" ref="X149:X157" si="77">V149*W149</f>
        <v>0</v>
      </c>
    </row>
    <row r="150" spans="1:24" s="117" customFormat="1" ht="75" x14ac:dyDescent="0.25">
      <c r="A150" s="301"/>
      <c r="B150" s="303"/>
      <c r="C150" s="70" t="s">
        <v>122</v>
      </c>
      <c r="D150" s="71">
        <f>Prices!D2</f>
        <v>16500</v>
      </c>
      <c r="E150" s="71">
        <v>4</v>
      </c>
      <c r="F150" s="71">
        <v>2</v>
      </c>
      <c r="G150" s="68">
        <f t="shared" si="61"/>
        <v>132000</v>
      </c>
      <c r="H150" s="85"/>
      <c r="I150" s="86"/>
      <c r="J150" s="86"/>
      <c r="K150" s="86"/>
      <c r="L150" s="87">
        <f t="shared" si="62"/>
        <v>0</v>
      </c>
      <c r="M150" s="70" t="s">
        <v>120</v>
      </c>
      <c r="N150" s="71">
        <v>200000</v>
      </c>
      <c r="O150" s="71">
        <v>1</v>
      </c>
      <c r="P150" s="68">
        <f t="shared" si="76"/>
        <v>200000</v>
      </c>
      <c r="Q150" s="85"/>
      <c r="R150" s="86"/>
      <c r="S150" s="86"/>
      <c r="T150" s="87">
        <f t="shared" ref="T150:T158" si="78">R150*S150</f>
        <v>0</v>
      </c>
      <c r="U150" s="107"/>
      <c r="V150" s="71"/>
      <c r="W150" s="71"/>
      <c r="X150" s="68">
        <f t="shared" si="77"/>
        <v>0</v>
      </c>
    </row>
    <row r="151" spans="1:24" s="117" customFormat="1" ht="18" customHeight="1" x14ac:dyDescent="0.25">
      <c r="A151" s="301"/>
      <c r="B151" s="303"/>
      <c r="C151" s="70"/>
      <c r="D151" s="71"/>
      <c r="E151" s="71"/>
      <c r="F151" s="71"/>
      <c r="G151" s="68">
        <f t="shared" si="61"/>
        <v>0</v>
      </c>
      <c r="H151" s="85"/>
      <c r="I151" s="86"/>
      <c r="J151" s="86"/>
      <c r="K151" s="86"/>
      <c r="L151" s="87">
        <f t="shared" si="62"/>
        <v>0</v>
      </c>
      <c r="M151" s="70"/>
      <c r="N151" s="71"/>
      <c r="O151" s="71"/>
      <c r="P151" s="68">
        <f t="shared" si="76"/>
        <v>0</v>
      </c>
      <c r="Q151" s="85"/>
      <c r="R151" s="86"/>
      <c r="S151" s="86"/>
      <c r="T151" s="87">
        <f t="shared" si="78"/>
        <v>0</v>
      </c>
      <c r="U151" s="107"/>
      <c r="V151" s="71"/>
      <c r="W151" s="71"/>
      <c r="X151" s="68">
        <f t="shared" si="77"/>
        <v>0</v>
      </c>
    </row>
    <row r="152" spans="1:24" s="117" customFormat="1" ht="15" customHeight="1" x14ac:dyDescent="0.25">
      <c r="A152" s="301"/>
      <c r="B152" s="303"/>
      <c r="C152" s="70"/>
      <c r="D152" s="71"/>
      <c r="E152" s="71"/>
      <c r="F152" s="71"/>
      <c r="G152" s="68">
        <f t="shared" si="61"/>
        <v>0</v>
      </c>
      <c r="H152" s="85"/>
      <c r="I152" s="86"/>
      <c r="J152" s="86"/>
      <c r="K152" s="86"/>
      <c r="L152" s="87">
        <f t="shared" si="62"/>
        <v>0</v>
      </c>
      <c r="M152" s="70"/>
      <c r="N152" s="71"/>
      <c r="O152" s="71"/>
      <c r="P152" s="68">
        <f t="shared" si="76"/>
        <v>0</v>
      </c>
      <c r="Q152" s="85"/>
      <c r="R152" s="86"/>
      <c r="S152" s="86"/>
      <c r="T152" s="87">
        <f t="shared" si="78"/>
        <v>0</v>
      </c>
      <c r="U152" s="107"/>
      <c r="V152" s="71"/>
      <c r="W152" s="71"/>
      <c r="X152" s="68">
        <f t="shared" si="77"/>
        <v>0</v>
      </c>
    </row>
    <row r="153" spans="1:24" s="117" customFormat="1" ht="15" customHeight="1" x14ac:dyDescent="0.25">
      <c r="A153" s="301"/>
      <c r="B153" s="303"/>
      <c r="C153" s="70"/>
      <c r="D153" s="71"/>
      <c r="E153" s="71"/>
      <c r="F153" s="71"/>
      <c r="G153" s="68">
        <f t="shared" si="61"/>
        <v>0</v>
      </c>
      <c r="H153" s="85"/>
      <c r="I153" s="86"/>
      <c r="J153" s="86"/>
      <c r="K153" s="86"/>
      <c r="L153" s="87">
        <f t="shared" ref="L153:L194" si="79">I153*J153*K153</f>
        <v>0</v>
      </c>
      <c r="M153" s="70"/>
      <c r="N153" s="71"/>
      <c r="O153" s="71"/>
      <c r="P153" s="68">
        <f t="shared" si="76"/>
        <v>0</v>
      </c>
      <c r="Q153" s="85"/>
      <c r="R153" s="86"/>
      <c r="S153" s="86"/>
      <c r="T153" s="87">
        <f t="shared" si="78"/>
        <v>0</v>
      </c>
      <c r="U153" s="107"/>
      <c r="V153" s="71"/>
      <c r="W153" s="71"/>
      <c r="X153" s="68">
        <f t="shared" si="77"/>
        <v>0</v>
      </c>
    </row>
    <row r="154" spans="1:24" s="117" customFormat="1" ht="15" hidden="1" customHeight="1" thickBot="1" x14ac:dyDescent="0.3">
      <c r="A154" s="301"/>
      <c r="B154" s="303"/>
      <c r="C154" s="70"/>
      <c r="D154" s="71"/>
      <c r="E154" s="71"/>
      <c r="F154" s="71"/>
      <c r="G154" s="68">
        <f t="shared" ref="G154:G199" si="80">D154*E154*F154</f>
        <v>0</v>
      </c>
      <c r="H154" s="85"/>
      <c r="I154" s="86"/>
      <c r="J154" s="86"/>
      <c r="K154" s="86"/>
      <c r="L154" s="87">
        <f t="shared" si="79"/>
        <v>0</v>
      </c>
      <c r="M154" s="70"/>
      <c r="N154" s="71"/>
      <c r="O154" s="71"/>
      <c r="P154" s="68">
        <f t="shared" si="76"/>
        <v>0</v>
      </c>
      <c r="Q154" s="85"/>
      <c r="R154" s="86"/>
      <c r="S154" s="86"/>
      <c r="T154" s="87">
        <f t="shared" si="78"/>
        <v>0</v>
      </c>
      <c r="U154" s="107"/>
      <c r="V154" s="71"/>
      <c r="W154" s="71"/>
      <c r="X154" s="68">
        <f t="shared" si="77"/>
        <v>0</v>
      </c>
    </row>
    <row r="155" spans="1:24" s="117" customFormat="1" ht="15" hidden="1" customHeight="1" thickBot="1" x14ac:dyDescent="0.3">
      <c r="A155" s="301"/>
      <c r="B155" s="303"/>
      <c r="C155" s="70"/>
      <c r="D155" s="71"/>
      <c r="E155" s="71"/>
      <c r="F155" s="71"/>
      <c r="G155" s="68">
        <f t="shared" si="80"/>
        <v>0</v>
      </c>
      <c r="H155" s="85"/>
      <c r="I155" s="86"/>
      <c r="J155" s="86"/>
      <c r="K155" s="86"/>
      <c r="L155" s="87">
        <f t="shared" si="79"/>
        <v>0</v>
      </c>
      <c r="M155" s="70"/>
      <c r="N155" s="71"/>
      <c r="O155" s="71"/>
      <c r="P155" s="68">
        <f t="shared" si="76"/>
        <v>0</v>
      </c>
      <c r="Q155" s="85"/>
      <c r="R155" s="86"/>
      <c r="S155" s="86"/>
      <c r="T155" s="87">
        <f t="shared" si="78"/>
        <v>0</v>
      </c>
      <c r="U155" s="107"/>
      <c r="V155" s="71"/>
      <c r="W155" s="71"/>
      <c r="X155" s="68">
        <f t="shared" si="77"/>
        <v>0</v>
      </c>
    </row>
    <row r="156" spans="1:24" s="117" customFormat="1" ht="15" hidden="1" customHeight="1" thickBot="1" x14ac:dyDescent="0.3">
      <c r="A156" s="301"/>
      <c r="B156" s="303"/>
      <c r="C156" s="70"/>
      <c r="D156" s="71"/>
      <c r="E156" s="71"/>
      <c r="F156" s="71"/>
      <c r="G156" s="68">
        <f t="shared" si="80"/>
        <v>0</v>
      </c>
      <c r="H156" s="85"/>
      <c r="I156" s="86"/>
      <c r="J156" s="86"/>
      <c r="K156" s="86"/>
      <c r="L156" s="87">
        <f t="shared" si="79"/>
        <v>0</v>
      </c>
      <c r="M156" s="70"/>
      <c r="N156" s="71"/>
      <c r="O156" s="71"/>
      <c r="P156" s="68">
        <f t="shared" si="76"/>
        <v>0</v>
      </c>
      <c r="Q156" s="85"/>
      <c r="R156" s="86"/>
      <c r="S156" s="86"/>
      <c r="T156" s="87">
        <f t="shared" si="78"/>
        <v>0</v>
      </c>
      <c r="U156" s="107"/>
      <c r="V156" s="71"/>
      <c r="W156" s="71"/>
      <c r="X156" s="68">
        <f t="shared" si="77"/>
        <v>0</v>
      </c>
    </row>
    <row r="157" spans="1:24" s="117" customFormat="1" ht="29.25" hidden="1" customHeight="1" thickBot="1" x14ac:dyDescent="0.3">
      <c r="A157" s="301"/>
      <c r="B157" s="303"/>
      <c r="C157" s="70"/>
      <c r="D157" s="71"/>
      <c r="E157" s="71"/>
      <c r="F157" s="71"/>
      <c r="G157" s="68">
        <f t="shared" si="80"/>
        <v>0</v>
      </c>
      <c r="H157" s="85"/>
      <c r="I157" s="86"/>
      <c r="J157" s="86"/>
      <c r="K157" s="86"/>
      <c r="L157" s="87">
        <f t="shared" si="79"/>
        <v>0</v>
      </c>
      <c r="M157" s="70"/>
      <c r="N157" s="71"/>
      <c r="O157" s="71"/>
      <c r="P157" s="68">
        <f t="shared" si="76"/>
        <v>0</v>
      </c>
      <c r="Q157" s="85"/>
      <c r="R157" s="86"/>
      <c r="S157" s="86"/>
      <c r="T157" s="87">
        <f t="shared" si="78"/>
        <v>0</v>
      </c>
      <c r="U157" s="107"/>
      <c r="V157" s="71"/>
      <c r="W157" s="71"/>
      <c r="X157" s="68">
        <f t="shared" si="77"/>
        <v>0</v>
      </c>
    </row>
    <row r="158" spans="1:24" s="117" customFormat="1" ht="30" x14ac:dyDescent="0.25">
      <c r="A158" s="301" t="s">
        <v>272</v>
      </c>
      <c r="B158" s="303">
        <f>SUM(G158:G166)++SUM(L158:L166)+SUM(P158:P166)+SUM(T158:T166)+SUM(X158:X166)</f>
        <v>49500</v>
      </c>
      <c r="C158" s="70" t="s">
        <v>212</v>
      </c>
      <c r="D158" s="71">
        <f>Prices!D2</f>
        <v>16500</v>
      </c>
      <c r="E158" s="71">
        <v>3</v>
      </c>
      <c r="F158" s="71">
        <v>1</v>
      </c>
      <c r="G158" s="68">
        <f t="shared" si="80"/>
        <v>49500</v>
      </c>
      <c r="H158" s="85"/>
      <c r="I158" s="86"/>
      <c r="J158" s="86"/>
      <c r="K158" s="86"/>
      <c r="L158" s="87">
        <f t="shared" si="79"/>
        <v>0</v>
      </c>
      <c r="M158" s="70"/>
      <c r="N158" s="71"/>
      <c r="O158" s="71"/>
      <c r="P158" s="68">
        <f t="shared" ref="P158:P166" si="81">N158*O158</f>
        <v>0</v>
      </c>
      <c r="Q158" s="85"/>
      <c r="R158" s="86"/>
      <c r="S158" s="86"/>
      <c r="T158" s="87">
        <f t="shared" si="78"/>
        <v>0</v>
      </c>
      <c r="U158" s="107"/>
      <c r="V158" s="71"/>
      <c r="W158" s="71"/>
      <c r="X158" s="68">
        <f t="shared" ref="X158:X166" si="82">V158*W158</f>
        <v>0</v>
      </c>
    </row>
    <row r="159" spans="1:24" s="117" customFormat="1" ht="15.75" customHeight="1" x14ac:dyDescent="0.25">
      <c r="A159" s="301"/>
      <c r="B159" s="303"/>
      <c r="C159" s="70"/>
      <c r="D159" s="71"/>
      <c r="E159" s="71"/>
      <c r="F159" s="71"/>
      <c r="G159" s="68">
        <f t="shared" si="80"/>
        <v>0</v>
      </c>
      <c r="H159" s="85"/>
      <c r="I159" s="86"/>
      <c r="J159" s="86"/>
      <c r="K159" s="86"/>
      <c r="L159" s="87">
        <f t="shared" si="79"/>
        <v>0</v>
      </c>
      <c r="M159" s="70"/>
      <c r="N159" s="71"/>
      <c r="O159" s="71"/>
      <c r="P159" s="68">
        <f t="shared" si="81"/>
        <v>0</v>
      </c>
      <c r="Q159" s="85"/>
      <c r="R159" s="86"/>
      <c r="S159" s="86"/>
      <c r="T159" s="87">
        <f t="shared" ref="T159:T172" si="83">R159*S159</f>
        <v>0</v>
      </c>
      <c r="U159" s="107"/>
      <c r="V159" s="71"/>
      <c r="W159" s="71"/>
      <c r="X159" s="68">
        <f t="shared" si="82"/>
        <v>0</v>
      </c>
    </row>
    <row r="160" spans="1:24" s="117" customFormat="1" ht="15" customHeight="1" x14ac:dyDescent="0.25">
      <c r="A160" s="301"/>
      <c r="B160" s="303"/>
      <c r="C160" s="70"/>
      <c r="D160" s="71"/>
      <c r="E160" s="71"/>
      <c r="F160" s="71"/>
      <c r="G160" s="68">
        <f t="shared" si="80"/>
        <v>0</v>
      </c>
      <c r="H160" s="85"/>
      <c r="I160" s="86"/>
      <c r="J160" s="86"/>
      <c r="K160" s="86"/>
      <c r="L160" s="87">
        <f t="shared" si="79"/>
        <v>0</v>
      </c>
      <c r="M160" s="70"/>
      <c r="N160" s="71"/>
      <c r="O160" s="71"/>
      <c r="P160" s="68">
        <f t="shared" si="81"/>
        <v>0</v>
      </c>
      <c r="Q160" s="85"/>
      <c r="R160" s="86"/>
      <c r="S160" s="86"/>
      <c r="T160" s="87">
        <f t="shared" si="83"/>
        <v>0</v>
      </c>
      <c r="U160" s="107"/>
      <c r="V160" s="71"/>
      <c r="W160" s="71"/>
      <c r="X160" s="68">
        <f t="shared" si="82"/>
        <v>0</v>
      </c>
    </row>
    <row r="161" spans="1:24" s="117" customFormat="1" ht="15" customHeight="1" x14ac:dyDescent="0.25">
      <c r="A161" s="301"/>
      <c r="B161" s="303"/>
      <c r="C161" s="70"/>
      <c r="D161" s="71"/>
      <c r="E161" s="71"/>
      <c r="F161" s="71"/>
      <c r="G161" s="68">
        <f t="shared" si="80"/>
        <v>0</v>
      </c>
      <c r="H161" s="85"/>
      <c r="I161" s="86"/>
      <c r="J161" s="86"/>
      <c r="K161" s="86"/>
      <c r="L161" s="87">
        <f t="shared" si="79"/>
        <v>0</v>
      </c>
      <c r="M161" s="70"/>
      <c r="N161" s="71"/>
      <c r="O161" s="71"/>
      <c r="P161" s="68">
        <f t="shared" si="81"/>
        <v>0</v>
      </c>
      <c r="Q161" s="85"/>
      <c r="R161" s="86"/>
      <c r="S161" s="86"/>
      <c r="T161" s="87">
        <f t="shared" si="83"/>
        <v>0</v>
      </c>
      <c r="U161" s="107"/>
      <c r="V161" s="71"/>
      <c r="W161" s="71"/>
      <c r="X161" s="68">
        <f t="shared" si="82"/>
        <v>0</v>
      </c>
    </row>
    <row r="162" spans="1:24" s="117" customFormat="1" ht="15" customHeight="1" x14ac:dyDescent="0.25">
      <c r="A162" s="301"/>
      <c r="B162" s="303"/>
      <c r="C162" s="70"/>
      <c r="D162" s="71"/>
      <c r="E162" s="71"/>
      <c r="F162" s="71"/>
      <c r="G162" s="68">
        <f t="shared" si="80"/>
        <v>0</v>
      </c>
      <c r="H162" s="85"/>
      <c r="I162" s="86"/>
      <c r="J162" s="86"/>
      <c r="K162" s="86"/>
      <c r="L162" s="87">
        <f t="shared" si="79"/>
        <v>0</v>
      </c>
      <c r="M162" s="70"/>
      <c r="N162" s="71"/>
      <c r="O162" s="71"/>
      <c r="P162" s="68">
        <f t="shared" si="81"/>
        <v>0</v>
      </c>
      <c r="Q162" s="85"/>
      <c r="R162" s="86"/>
      <c r="S162" s="86"/>
      <c r="T162" s="87">
        <f t="shared" si="83"/>
        <v>0</v>
      </c>
      <c r="U162" s="107"/>
      <c r="V162" s="71"/>
      <c r="W162" s="71"/>
      <c r="X162" s="68">
        <f t="shared" si="82"/>
        <v>0</v>
      </c>
    </row>
    <row r="163" spans="1:24" s="117" customFormat="1" ht="15" hidden="1" customHeight="1" thickBot="1" x14ac:dyDescent="0.3">
      <c r="A163" s="301"/>
      <c r="B163" s="303"/>
      <c r="C163" s="70"/>
      <c r="D163" s="71"/>
      <c r="E163" s="71"/>
      <c r="F163" s="71"/>
      <c r="G163" s="68">
        <f t="shared" si="80"/>
        <v>0</v>
      </c>
      <c r="H163" s="85"/>
      <c r="I163" s="86"/>
      <c r="J163" s="86"/>
      <c r="K163" s="86"/>
      <c r="L163" s="87">
        <f t="shared" si="79"/>
        <v>0</v>
      </c>
      <c r="M163" s="70"/>
      <c r="N163" s="71"/>
      <c r="O163" s="71"/>
      <c r="P163" s="68">
        <f t="shared" si="81"/>
        <v>0</v>
      </c>
      <c r="Q163" s="85"/>
      <c r="R163" s="86"/>
      <c r="S163" s="86"/>
      <c r="T163" s="87">
        <f t="shared" si="83"/>
        <v>0</v>
      </c>
      <c r="U163" s="107"/>
      <c r="V163" s="71"/>
      <c r="W163" s="71"/>
      <c r="X163" s="68">
        <f t="shared" si="82"/>
        <v>0</v>
      </c>
    </row>
    <row r="164" spans="1:24" s="117" customFormat="1" ht="15" hidden="1" customHeight="1" thickBot="1" x14ac:dyDescent="0.3">
      <c r="A164" s="301"/>
      <c r="B164" s="303"/>
      <c r="C164" s="70"/>
      <c r="D164" s="71"/>
      <c r="E164" s="71"/>
      <c r="F164" s="71"/>
      <c r="G164" s="68">
        <f t="shared" si="80"/>
        <v>0</v>
      </c>
      <c r="H164" s="85"/>
      <c r="I164" s="86"/>
      <c r="J164" s="86"/>
      <c r="K164" s="86"/>
      <c r="L164" s="87">
        <f t="shared" si="79"/>
        <v>0</v>
      </c>
      <c r="M164" s="70"/>
      <c r="N164" s="71"/>
      <c r="O164" s="71"/>
      <c r="P164" s="68">
        <f t="shared" si="81"/>
        <v>0</v>
      </c>
      <c r="Q164" s="85"/>
      <c r="R164" s="86"/>
      <c r="S164" s="86"/>
      <c r="T164" s="87">
        <f t="shared" si="83"/>
        <v>0</v>
      </c>
      <c r="U164" s="107"/>
      <c r="V164" s="71"/>
      <c r="W164" s="71"/>
      <c r="X164" s="68">
        <f t="shared" si="82"/>
        <v>0</v>
      </c>
    </row>
    <row r="165" spans="1:24" s="117" customFormat="1" ht="15" hidden="1" customHeight="1" thickBot="1" x14ac:dyDescent="0.3">
      <c r="A165" s="301"/>
      <c r="B165" s="303"/>
      <c r="C165" s="70"/>
      <c r="D165" s="71"/>
      <c r="E165" s="71"/>
      <c r="F165" s="71"/>
      <c r="G165" s="68">
        <f t="shared" si="80"/>
        <v>0</v>
      </c>
      <c r="H165" s="85"/>
      <c r="I165" s="86"/>
      <c r="J165" s="86"/>
      <c r="K165" s="86"/>
      <c r="L165" s="87">
        <f t="shared" si="79"/>
        <v>0</v>
      </c>
      <c r="M165" s="70"/>
      <c r="N165" s="71"/>
      <c r="O165" s="71"/>
      <c r="P165" s="68">
        <f t="shared" si="81"/>
        <v>0</v>
      </c>
      <c r="Q165" s="85"/>
      <c r="R165" s="86"/>
      <c r="S165" s="86"/>
      <c r="T165" s="87">
        <f t="shared" si="83"/>
        <v>0</v>
      </c>
      <c r="U165" s="107"/>
      <c r="V165" s="71"/>
      <c r="W165" s="71"/>
      <c r="X165" s="68">
        <f t="shared" si="82"/>
        <v>0</v>
      </c>
    </row>
    <row r="166" spans="1:24" s="117" customFormat="1" ht="8.25" customHeight="1" x14ac:dyDescent="0.25">
      <c r="A166" s="301"/>
      <c r="B166" s="303"/>
      <c r="C166" s="70"/>
      <c r="D166" s="71"/>
      <c r="E166" s="71"/>
      <c r="F166" s="71"/>
      <c r="G166" s="68">
        <f t="shared" si="80"/>
        <v>0</v>
      </c>
      <c r="H166" s="85"/>
      <c r="I166" s="86"/>
      <c r="J166" s="86"/>
      <c r="K166" s="86"/>
      <c r="L166" s="87">
        <f t="shared" si="79"/>
        <v>0</v>
      </c>
      <c r="M166" s="70"/>
      <c r="N166" s="71"/>
      <c r="O166" s="71"/>
      <c r="P166" s="68">
        <f t="shared" si="81"/>
        <v>0</v>
      </c>
      <c r="Q166" s="85"/>
      <c r="R166" s="86"/>
      <c r="S166" s="86"/>
      <c r="T166" s="87">
        <f t="shared" si="83"/>
        <v>0</v>
      </c>
      <c r="U166" s="107"/>
      <c r="V166" s="71"/>
      <c r="W166" s="71"/>
      <c r="X166" s="68">
        <f t="shared" si="82"/>
        <v>0</v>
      </c>
    </row>
    <row r="167" spans="1:24" s="117" customFormat="1" ht="45" x14ac:dyDescent="0.25">
      <c r="A167" s="292" t="s">
        <v>268</v>
      </c>
      <c r="B167" s="295">
        <f>SUM(G167:G171)+SUM(L167:L171)+SUM(P167:P171)+SUM(T167:T171)+SUM(X167:X171)</f>
        <v>693000</v>
      </c>
      <c r="C167" s="70" t="s">
        <v>242</v>
      </c>
      <c r="D167" s="71">
        <f>Prices!D2</f>
        <v>16500</v>
      </c>
      <c r="E167" s="71">
        <v>6</v>
      </c>
      <c r="F167" s="71">
        <v>2</v>
      </c>
      <c r="G167" s="68">
        <f>D167*E167*F167</f>
        <v>198000</v>
      </c>
      <c r="H167" s="85"/>
      <c r="I167" s="86"/>
      <c r="J167" s="86"/>
      <c r="K167" s="86"/>
      <c r="L167" s="87">
        <f>I167*J167*K167</f>
        <v>0</v>
      </c>
      <c r="M167" s="70"/>
      <c r="N167" s="71"/>
      <c r="O167" s="71"/>
      <c r="P167" s="68">
        <f>N167*O167</f>
        <v>0</v>
      </c>
      <c r="Q167" s="85"/>
      <c r="R167" s="86"/>
      <c r="S167" s="86"/>
      <c r="T167" s="87">
        <f>R167*S167</f>
        <v>0</v>
      </c>
      <c r="U167" s="107"/>
      <c r="V167" s="71"/>
      <c r="W167" s="71"/>
      <c r="X167" s="68">
        <f t="shared" ref="X167:X170" si="84">V167*W167</f>
        <v>0</v>
      </c>
    </row>
    <row r="168" spans="1:24" s="117" customFormat="1" ht="84" customHeight="1" x14ac:dyDescent="0.25">
      <c r="A168" s="293"/>
      <c r="B168" s="293"/>
      <c r="C168" s="70" t="s">
        <v>287</v>
      </c>
      <c r="D168" s="71">
        <f>Prices!D2</f>
        <v>16500</v>
      </c>
      <c r="E168" s="71">
        <v>6</v>
      </c>
      <c r="F168" s="71">
        <v>2</v>
      </c>
      <c r="G168" s="68">
        <f>D168*E168*F168</f>
        <v>198000</v>
      </c>
      <c r="H168" s="85"/>
      <c r="I168" s="86"/>
      <c r="J168" s="86"/>
      <c r="K168" s="86"/>
      <c r="L168" s="87">
        <f>I168*J168*K168</f>
        <v>0</v>
      </c>
      <c r="M168" s="70"/>
      <c r="N168" s="71"/>
      <c r="O168" s="71"/>
      <c r="P168" s="68">
        <f>N168*O168</f>
        <v>0</v>
      </c>
      <c r="Q168" s="85"/>
      <c r="R168" s="86"/>
      <c r="S168" s="86"/>
      <c r="T168" s="87">
        <f>R168*S168</f>
        <v>0</v>
      </c>
      <c r="U168" s="107"/>
      <c r="V168" s="71"/>
      <c r="W168" s="71"/>
      <c r="X168" s="68">
        <f t="shared" si="84"/>
        <v>0</v>
      </c>
    </row>
    <row r="169" spans="1:24" s="117" customFormat="1" ht="45" x14ac:dyDescent="0.25">
      <c r="A169" s="293"/>
      <c r="B169" s="293"/>
      <c r="C169" s="70" t="s">
        <v>241</v>
      </c>
      <c r="D169" s="71">
        <f>Prices!D2</f>
        <v>16500</v>
      </c>
      <c r="E169" s="71">
        <v>6</v>
      </c>
      <c r="F169" s="71">
        <v>3</v>
      </c>
      <c r="G169" s="68">
        <f>D169*E169*F169</f>
        <v>297000</v>
      </c>
      <c r="H169" s="85"/>
      <c r="I169" s="86"/>
      <c r="J169" s="86"/>
      <c r="K169" s="86"/>
      <c r="L169" s="87">
        <f>I169*J169*K169</f>
        <v>0</v>
      </c>
      <c r="M169" s="70"/>
      <c r="N169" s="71"/>
      <c r="O169" s="71"/>
      <c r="P169" s="68">
        <f>N169*O169</f>
        <v>0</v>
      </c>
      <c r="Q169" s="85"/>
      <c r="R169" s="86"/>
      <c r="S169" s="86"/>
      <c r="T169" s="87">
        <f>R169*S169</f>
        <v>0</v>
      </c>
      <c r="U169" s="107"/>
      <c r="V169" s="71"/>
      <c r="W169" s="71"/>
      <c r="X169" s="68">
        <f t="shared" si="84"/>
        <v>0</v>
      </c>
    </row>
    <row r="170" spans="1:24" s="117" customFormat="1" ht="18" customHeight="1" x14ac:dyDescent="0.25">
      <c r="A170" s="293"/>
      <c r="B170" s="293"/>
      <c r="C170" s="70"/>
      <c r="D170" s="71"/>
      <c r="E170" s="71"/>
      <c r="F170" s="71"/>
      <c r="G170" s="68">
        <f>D170*E170*F170</f>
        <v>0</v>
      </c>
      <c r="H170" s="85"/>
      <c r="I170" s="86"/>
      <c r="J170" s="86"/>
      <c r="K170" s="86"/>
      <c r="L170" s="87">
        <f>I170*J170*K170</f>
        <v>0</v>
      </c>
      <c r="M170" s="70"/>
      <c r="N170" s="71"/>
      <c r="O170" s="71"/>
      <c r="P170" s="68">
        <f>N170*O170</f>
        <v>0</v>
      </c>
      <c r="Q170" s="85"/>
      <c r="R170" s="86"/>
      <c r="S170" s="86"/>
      <c r="T170" s="87">
        <f>R170*S170</f>
        <v>0</v>
      </c>
      <c r="U170" s="107"/>
      <c r="V170" s="71"/>
      <c r="W170" s="71"/>
      <c r="X170" s="68">
        <f t="shared" si="84"/>
        <v>0</v>
      </c>
    </row>
    <row r="171" spans="1:24" s="117" customFormat="1" ht="18" customHeight="1" x14ac:dyDescent="0.25">
      <c r="A171" s="294"/>
      <c r="B171" s="294"/>
      <c r="C171" s="70"/>
      <c r="D171" s="71"/>
      <c r="E171" s="71"/>
      <c r="F171" s="71"/>
      <c r="G171" s="68">
        <f>D171*E171*F171</f>
        <v>0</v>
      </c>
      <c r="H171" s="85"/>
      <c r="I171" s="86"/>
      <c r="J171" s="86"/>
      <c r="K171" s="86"/>
      <c r="L171" s="87">
        <f>I171*J171*K171</f>
        <v>0</v>
      </c>
      <c r="M171" s="70"/>
      <c r="N171" s="71"/>
      <c r="O171" s="71"/>
      <c r="P171" s="68">
        <f>N171*O171</f>
        <v>0</v>
      </c>
      <c r="Q171" s="85"/>
      <c r="R171" s="86"/>
      <c r="S171" s="86"/>
      <c r="T171" s="87"/>
      <c r="U171" s="107"/>
      <c r="V171" s="71"/>
      <c r="W171" s="71"/>
      <c r="X171" s="68"/>
    </row>
    <row r="172" spans="1:24" s="117" customFormat="1" ht="120" customHeight="1" x14ac:dyDescent="0.25">
      <c r="A172" s="301" t="s">
        <v>296</v>
      </c>
      <c r="B172" s="303">
        <f>SUM(G172:G180)++SUM(L172:L180)+SUM(P172:P180)+SUM(T172:T180)+SUM(X172:X180)</f>
        <v>734000</v>
      </c>
      <c r="C172" s="70" t="s">
        <v>124</v>
      </c>
      <c r="D172" s="71">
        <f>Prices!D2</f>
        <v>16500</v>
      </c>
      <c r="E172" s="71">
        <v>6</v>
      </c>
      <c r="F172" s="71">
        <v>2</v>
      </c>
      <c r="G172" s="68">
        <f t="shared" si="80"/>
        <v>198000</v>
      </c>
      <c r="H172" s="85"/>
      <c r="I172" s="86"/>
      <c r="J172" s="86"/>
      <c r="K172" s="86"/>
      <c r="L172" s="87">
        <f t="shared" si="79"/>
        <v>0</v>
      </c>
      <c r="M172" s="70" t="s">
        <v>123</v>
      </c>
      <c r="N172" s="71">
        <v>1</v>
      </c>
      <c r="O172" s="71">
        <v>200000</v>
      </c>
      <c r="P172" s="68">
        <f t="shared" ref="P172:P180" si="85">N172*O172</f>
        <v>200000</v>
      </c>
      <c r="Q172" s="85"/>
      <c r="R172" s="86"/>
      <c r="S172" s="86"/>
      <c r="T172" s="87">
        <f t="shared" si="83"/>
        <v>0</v>
      </c>
      <c r="U172" s="107"/>
      <c r="V172" s="71"/>
      <c r="W172" s="71"/>
      <c r="X172" s="68">
        <f t="shared" ref="X172:X180" si="86">V172*W172</f>
        <v>0</v>
      </c>
    </row>
    <row r="173" spans="1:24" s="117" customFormat="1" ht="41.45" customHeight="1" x14ac:dyDescent="0.25">
      <c r="A173" s="301"/>
      <c r="B173" s="303"/>
      <c r="C173" s="156" t="s">
        <v>213</v>
      </c>
      <c r="D173" s="71">
        <f>Prices!B6</f>
        <v>3500</v>
      </c>
      <c r="E173" s="71">
        <v>48</v>
      </c>
      <c r="F173" s="71">
        <v>2</v>
      </c>
      <c r="G173" s="68">
        <f t="shared" si="80"/>
        <v>336000</v>
      </c>
      <c r="H173" s="85"/>
      <c r="I173" s="86"/>
      <c r="J173" s="86"/>
      <c r="K173" s="86"/>
      <c r="L173" s="87">
        <f t="shared" si="79"/>
        <v>0</v>
      </c>
      <c r="M173" s="70"/>
      <c r="N173" s="71"/>
      <c r="O173" s="71"/>
      <c r="P173" s="68">
        <f t="shared" si="85"/>
        <v>0</v>
      </c>
      <c r="Q173" s="85"/>
      <c r="R173" s="86"/>
      <c r="S173" s="86"/>
      <c r="T173" s="87">
        <f t="shared" ref="T173:T181" si="87">R173*S173</f>
        <v>0</v>
      </c>
      <c r="U173" s="107"/>
      <c r="V173" s="71"/>
      <c r="W173" s="71"/>
      <c r="X173" s="68">
        <f t="shared" si="86"/>
        <v>0</v>
      </c>
    </row>
    <row r="174" spans="1:24" s="117" customFormat="1" ht="18.600000000000001" customHeight="1" x14ac:dyDescent="0.25">
      <c r="A174" s="301"/>
      <c r="B174" s="303"/>
      <c r="C174" s="70"/>
      <c r="D174" s="71"/>
      <c r="E174" s="71"/>
      <c r="F174" s="71"/>
      <c r="G174" s="68">
        <f t="shared" si="80"/>
        <v>0</v>
      </c>
      <c r="H174" s="85"/>
      <c r="I174" s="86"/>
      <c r="J174" s="86"/>
      <c r="K174" s="86"/>
      <c r="L174" s="87">
        <f t="shared" si="79"/>
        <v>0</v>
      </c>
      <c r="M174" s="70"/>
      <c r="N174" s="71"/>
      <c r="O174" s="71"/>
      <c r="P174" s="68">
        <f t="shared" si="85"/>
        <v>0</v>
      </c>
      <c r="Q174" s="85"/>
      <c r="R174" s="86"/>
      <c r="S174" s="86"/>
      <c r="T174" s="87">
        <f t="shared" si="87"/>
        <v>0</v>
      </c>
      <c r="U174" s="107"/>
      <c r="V174" s="71"/>
      <c r="W174" s="71"/>
      <c r="X174" s="68">
        <f t="shared" si="86"/>
        <v>0</v>
      </c>
    </row>
    <row r="175" spans="1:24" s="117" customFormat="1" ht="15" customHeight="1" x14ac:dyDescent="0.25">
      <c r="A175" s="301"/>
      <c r="B175" s="303"/>
      <c r="C175" s="70"/>
      <c r="D175" s="71"/>
      <c r="E175" s="71"/>
      <c r="F175" s="71"/>
      <c r="G175" s="68">
        <f t="shared" si="80"/>
        <v>0</v>
      </c>
      <c r="H175" s="85"/>
      <c r="I175" s="86"/>
      <c r="J175" s="86"/>
      <c r="K175" s="86"/>
      <c r="L175" s="87">
        <f t="shared" si="79"/>
        <v>0</v>
      </c>
      <c r="M175" s="70"/>
      <c r="N175" s="71"/>
      <c r="O175" s="71"/>
      <c r="P175" s="68">
        <f t="shared" si="85"/>
        <v>0</v>
      </c>
      <c r="Q175" s="85"/>
      <c r="R175" s="86"/>
      <c r="S175" s="86"/>
      <c r="T175" s="87">
        <f t="shared" si="87"/>
        <v>0</v>
      </c>
      <c r="U175" s="107"/>
      <c r="V175" s="71"/>
      <c r="W175" s="71"/>
      <c r="X175" s="68">
        <f t="shared" si="86"/>
        <v>0</v>
      </c>
    </row>
    <row r="176" spans="1:24" s="117" customFormat="1" ht="15" customHeight="1" x14ac:dyDescent="0.25">
      <c r="A176" s="301"/>
      <c r="B176" s="303"/>
      <c r="C176" s="70"/>
      <c r="D176" s="71"/>
      <c r="E176" s="71"/>
      <c r="F176" s="71"/>
      <c r="G176" s="68">
        <f t="shared" si="80"/>
        <v>0</v>
      </c>
      <c r="H176" s="85"/>
      <c r="I176" s="86"/>
      <c r="J176" s="86"/>
      <c r="K176" s="86"/>
      <c r="L176" s="87">
        <f t="shared" si="79"/>
        <v>0</v>
      </c>
      <c r="M176" s="70"/>
      <c r="N176" s="71"/>
      <c r="O176" s="71"/>
      <c r="P176" s="68">
        <f t="shared" si="85"/>
        <v>0</v>
      </c>
      <c r="Q176" s="85"/>
      <c r="R176" s="86"/>
      <c r="S176" s="86"/>
      <c r="T176" s="87">
        <f t="shared" si="87"/>
        <v>0</v>
      </c>
      <c r="U176" s="107"/>
      <c r="V176" s="71"/>
      <c r="W176" s="71"/>
      <c r="X176" s="68">
        <f t="shared" si="86"/>
        <v>0</v>
      </c>
    </row>
    <row r="177" spans="1:24" s="117" customFormat="1" ht="15" hidden="1" customHeight="1" thickBot="1" x14ac:dyDescent="0.3">
      <c r="A177" s="301"/>
      <c r="B177" s="303"/>
      <c r="C177" s="70"/>
      <c r="D177" s="71"/>
      <c r="E177" s="71"/>
      <c r="F177" s="71"/>
      <c r="G177" s="68">
        <f t="shared" si="80"/>
        <v>0</v>
      </c>
      <c r="H177" s="85"/>
      <c r="I177" s="86"/>
      <c r="J177" s="86"/>
      <c r="K177" s="86"/>
      <c r="L177" s="87">
        <f t="shared" si="79"/>
        <v>0</v>
      </c>
      <c r="M177" s="70"/>
      <c r="N177" s="71"/>
      <c r="O177" s="71"/>
      <c r="P177" s="68">
        <f t="shared" si="85"/>
        <v>0</v>
      </c>
      <c r="Q177" s="85"/>
      <c r="R177" s="86"/>
      <c r="S177" s="86"/>
      <c r="T177" s="87">
        <f t="shared" si="87"/>
        <v>0</v>
      </c>
      <c r="U177" s="107"/>
      <c r="V177" s="71"/>
      <c r="W177" s="71"/>
      <c r="X177" s="68">
        <f t="shared" si="86"/>
        <v>0</v>
      </c>
    </row>
    <row r="178" spans="1:24" s="117" customFormat="1" ht="15" hidden="1" customHeight="1" thickBot="1" x14ac:dyDescent="0.3">
      <c r="A178" s="301"/>
      <c r="B178" s="303"/>
      <c r="C178" s="70"/>
      <c r="D178" s="71"/>
      <c r="E178" s="71"/>
      <c r="F178" s="71"/>
      <c r="G178" s="68">
        <f t="shared" si="80"/>
        <v>0</v>
      </c>
      <c r="H178" s="85"/>
      <c r="I178" s="86"/>
      <c r="J178" s="86"/>
      <c r="K178" s="86"/>
      <c r="L178" s="87">
        <f t="shared" si="79"/>
        <v>0</v>
      </c>
      <c r="M178" s="70"/>
      <c r="N178" s="71"/>
      <c r="O178" s="71"/>
      <c r="P178" s="68">
        <f t="shared" si="85"/>
        <v>0</v>
      </c>
      <c r="Q178" s="85"/>
      <c r="R178" s="86"/>
      <c r="S178" s="86"/>
      <c r="T178" s="87">
        <f t="shared" si="87"/>
        <v>0</v>
      </c>
      <c r="U178" s="107"/>
      <c r="V178" s="71"/>
      <c r="W178" s="71"/>
      <c r="X178" s="68">
        <f t="shared" si="86"/>
        <v>0</v>
      </c>
    </row>
    <row r="179" spans="1:24" s="117" customFormat="1" ht="15" hidden="1" customHeight="1" thickBot="1" x14ac:dyDescent="0.3">
      <c r="A179" s="301"/>
      <c r="B179" s="303"/>
      <c r="C179" s="70"/>
      <c r="D179" s="71"/>
      <c r="E179" s="71"/>
      <c r="F179" s="71"/>
      <c r="G179" s="68">
        <f t="shared" si="80"/>
        <v>0</v>
      </c>
      <c r="H179" s="85"/>
      <c r="I179" s="86"/>
      <c r="J179" s="86"/>
      <c r="K179" s="86"/>
      <c r="L179" s="87">
        <f t="shared" si="79"/>
        <v>0</v>
      </c>
      <c r="M179" s="70"/>
      <c r="N179" s="71"/>
      <c r="O179" s="71"/>
      <c r="P179" s="68">
        <f t="shared" si="85"/>
        <v>0</v>
      </c>
      <c r="Q179" s="85"/>
      <c r="R179" s="86"/>
      <c r="S179" s="86"/>
      <c r="T179" s="87">
        <f t="shared" si="87"/>
        <v>0</v>
      </c>
      <c r="U179" s="107"/>
      <c r="V179" s="71"/>
      <c r="W179" s="71"/>
      <c r="X179" s="68">
        <f t="shared" si="86"/>
        <v>0</v>
      </c>
    </row>
    <row r="180" spans="1:24" s="117" customFormat="1" ht="27" customHeight="1" x14ac:dyDescent="0.25">
      <c r="A180" s="301"/>
      <c r="B180" s="303"/>
      <c r="C180" s="70"/>
      <c r="D180" s="71"/>
      <c r="E180" s="71"/>
      <c r="F180" s="71"/>
      <c r="G180" s="68">
        <f t="shared" si="80"/>
        <v>0</v>
      </c>
      <c r="H180" s="85"/>
      <c r="I180" s="86"/>
      <c r="J180" s="86"/>
      <c r="K180" s="86"/>
      <c r="L180" s="87">
        <f t="shared" si="79"/>
        <v>0</v>
      </c>
      <c r="M180" s="70"/>
      <c r="N180" s="71"/>
      <c r="O180" s="71"/>
      <c r="P180" s="68">
        <f t="shared" si="85"/>
        <v>0</v>
      </c>
      <c r="Q180" s="85"/>
      <c r="R180" s="86"/>
      <c r="S180" s="86"/>
      <c r="T180" s="87">
        <f t="shared" si="87"/>
        <v>0</v>
      </c>
      <c r="U180" s="107"/>
      <c r="V180" s="71"/>
      <c r="W180" s="71"/>
      <c r="X180" s="68">
        <f t="shared" si="86"/>
        <v>0</v>
      </c>
    </row>
    <row r="181" spans="1:24" s="117" customFormat="1" ht="75" x14ac:dyDescent="0.25">
      <c r="A181" s="301" t="s">
        <v>269</v>
      </c>
      <c r="B181" s="303">
        <f>SUM(G181:G189)++SUM(L181:L189)+SUM(P181:P189)+SUM(T181:T189)+SUM(X181:X189)</f>
        <v>234960</v>
      </c>
      <c r="C181" s="70" t="s">
        <v>239</v>
      </c>
      <c r="D181" s="71">
        <f>Prices!D2</f>
        <v>16500</v>
      </c>
      <c r="E181" s="71">
        <v>6</v>
      </c>
      <c r="F181" s="71">
        <v>2</v>
      </c>
      <c r="G181" s="68">
        <f t="shared" ref="G181:G189" si="88">D181*E181*F181</f>
        <v>198000</v>
      </c>
      <c r="H181" s="85"/>
      <c r="I181" s="86"/>
      <c r="J181" s="86"/>
      <c r="K181" s="86"/>
      <c r="L181" s="87">
        <f t="shared" ref="L181:L189" si="89">I181*J181*K181</f>
        <v>0</v>
      </c>
      <c r="M181" s="70"/>
      <c r="N181" s="71"/>
      <c r="O181" s="71"/>
      <c r="P181" s="68">
        <f t="shared" ref="P181:P189" si="90">N181*O181</f>
        <v>0</v>
      </c>
      <c r="Q181" s="85"/>
      <c r="R181" s="86"/>
      <c r="S181" s="86"/>
      <c r="T181" s="87">
        <f t="shared" si="87"/>
        <v>0</v>
      </c>
      <c r="U181" s="107"/>
      <c r="V181" s="71"/>
      <c r="W181" s="71"/>
      <c r="X181" s="68">
        <f t="shared" ref="X181:X189" si="91">V181*W181</f>
        <v>0</v>
      </c>
    </row>
    <row r="182" spans="1:24" s="117" customFormat="1" ht="45" x14ac:dyDescent="0.25">
      <c r="A182" s="301"/>
      <c r="B182" s="303"/>
      <c r="C182" s="70" t="s">
        <v>228</v>
      </c>
      <c r="D182" s="71">
        <f>Prices!B3</f>
        <v>3080</v>
      </c>
      <c r="E182" s="71">
        <v>6</v>
      </c>
      <c r="F182" s="71">
        <v>2</v>
      </c>
      <c r="G182" s="68">
        <f t="shared" si="88"/>
        <v>36960</v>
      </c>
      <c r="H182" s="85"/>
      <c r="I182" s="86"/>
      <c r="J182" s="86"/>
      <c r="K182" s="86"/>
      <c r="L182" s="87">
        <f t="shared" si="89"/>
        <v>0</v>
      </c>
      <c r="M182" s="70"/>
      <c r="N182" s="71"/>
      <c r="O182" s="71"/>
      <c r="P182" s="68">
        <f t="shared" si="90"/>
        <v>0</v>
      </c>
      <c r="Q182" s="85"/>
      <c r="R182" s="86"/>
      <c r="S182" s="86"/>
      <c r="T182" s="87">
        <f t="shared" ref="T182:T189" si="92">R182*S182</f>
        <v>0</v>
      </c>
      <c r="U182" s="107"/>
      <c r="V182" s="71"/>
      <c r="W182" s="71"/>
      <c r="X182" s="68">
        <f t="shared" si="91"/>
        <v>0</v>
      </c>
    </row>
    <row r="183" spans="1:24" s="117" customFormat="1" ht="18.600000000000001" customHeight="1" x14ac:dyDescent="0.25">
      <c r="A183" s="301"/>
      <c r="B183" s="303"/>
      <c r="C183" s="70"/>
      <c r="D183" s="71"/>
      <c r="E183" s="71"/>
      <c r="F183" s="71"/>
      <c r="G183" s="68">
        <f t="shared" si="88"/>
        <v>0</v>
      </c>
      <c r="H183" s="85"/>
      <c r="I183" s="86"/>
      <c r="J183" s="86"/>
      <c r="K183" s="86"/>
      <c r="L183" s="87">
        <f t="shared" si="89"/>
        <v>0</v>
      </c>
      <c r="M183" s="70"/>
      <c r="N183" s="71"/>
      <c r="O183" s="71"/>
      <c r="P183" s="68">
        <f t="shared" si="90"/>
        <v>0</v>
      </c>
      <c r="Q183" s="85"/>
      <c r="R183" s="86"/>
      <c r="S183" s="86"/>
      <c r="T183" s="87">
        <f t="shared" si="92"/>
        <v>0</v>
      </c>
      <c r="U183" s="107"/>
      <c r="V183" s="71"/>
      <c r="W183" s="71"/>
      <c r="X183" s="68">
        <f t="shared" si="91"/>
        <v>0</v>
      </c>
    </row>
    <row r="184" spans="1:24" s="117" customFormat="1" ht="15" customHeight="1" x14ac:dyDescent="0.25">
      <c r="A184" s="301"/>
      <c r="B184" s="303"/>
      <c r="C184" s="70"/>
      <c r="D184" s="71"/>
      <c r="E184" s="71"/>
      <c r="F184" s="71"/>
      <c r="G184" s="68">
        <f t="shared" si="88"/>
        <v>0</v>
      </c>
      <c r="H184" s="85"/>
      <c r="I184" s="86"/>
      <c r="J184" s="86"/>
      <c r="K184" s="86"/>
      <c r="L184" s="87">
        <f t="shared" si="89"/>
        <v>0</v>
      </c>
      <c r="M184" s="70"/>
      <c r="N184" s="71"/>
      <c r="O184" s="71"/>
      <c r="P184" s="68">
        <f t="shared" si="90"/>
        <v>0</v>
      </c>
      <c r="Q184" s="85"/>
      <c r="R184" s="86"/>
      <c r="S184" s="86"/>
      <c r="T184" s="87">
        <f t="shared" si="92"/>
        <v>0</v>
      </c>
      <c r="U184" s="107"/>
      <c r="V184" s="71"/>
      <c r="W184" s="71"/>
      <c r="X184" s="68">
        <f t="shared" si="91"/>
        <v>0</v>
      </c>
    </row>
    <row r="185" spans="1:24" s="117" customFormat="1" x14ac:dyDescent="0.25">
      <c r="A185" s="301"/>
      <c r="B185" s="303"/>
      <c r="C185" s="70"/>
      <c r="D185" s="71"/>
      <c r="E185" s="71"/>
      <c r="F185" s="71"/>
      <c r="G185" s="68">
        <f t="shared" si="88"/>
        <v>0</v>
      </c>
      <c r="H185" s="85"/>
      <c r="I185" s="86"/>
      <c r="J185" s="86"/>
      <c r="K185" s="86"/>
      <c r="L185" s="87">
        <f t="shared" si="89"/>
        <v>0</v>
      </c>
      <c r="M185" s="70"/>
      <c r="N185" s="71"/>
      <c r="O185" s="71"/>
      <c r="P185" s="68">
        <f t="shared" si="90"/>
        <v>0</v>
      </c>
      <c r="Q185" s="85"/>
      <c r="R185" s="86"/>
      <c r="S185" s="86"/>
      <c r="T185" s="87">
        <f t="shared" si="92"/>
        <v>0</v>
      </c>
      <c r="U185" s="107"/>
      <c r="V185" s="71"/>
      <c r="W185" s="71"/>
      <c r="X185" s="68">
        <f t="shared" si="91"/>
        <v>0</v>
      </c>
    </row>
    <row r="186" spans="1:24" s="117" customFormat="1" ht="15" hidden="1" customHeight="1" x14ac:dyDescent="0.25">
      <c r="A186" s="301"/>
      <c r="B186" s="303"/>
      <c r="C186" s="70"/>
      <c r="D186" s="71"/>
      <c r="E186" s="71"/>
      <c r="F186" s="71"/>
      <c r="G186" s="68">
        <f t="shared" si="88"/>
        <v>0</v>
      </c>
      <c r="H186" s="85"/>
      <c r="I186" s="86"/>
      <c r="J186" s="86"/>
      <c r="K186" s="86"/>
      <c r="L186" s="87">
        <f t="shared" si="89"/>
        <v>0</v>
      </c>
      <c r="M186" s="70"/>
      <c r="N186" s="71"/>
      <c r="O186" s="71"/>
      <c r="P186" s="68">
        <f t="shared" si="90"/>
        <v>0</v>
      </c>
      <c r="Q186" s="85"/>
      <c r="R186" s="86"/>
      <c r="S186" s="86"/>
      <c r="T186" s="87">
        <f t="shared" si="92"/>
        <v>0</v>
      </c>
      <c r="U186" s="107"/>
      <c r="V186" s="71"/>
      <c r="W186" s="71"/>
      <c r="X186" s="68">
        <f t="shared" si="91"/>
        <v>0</v>
      </c>
    </row>
    <row r="187" spans="1:24" s="117" customFormat="1" ht="15" hidden="1" customHeight="1" x14ac:dyDescent="0.25">
      <c r="A187" s="301"/>
      <c r="B187" s="303"/>
      <c r="C187" s="70"/>
      <c r="D187" s="71"/>
      <c r="E187" s="71"/>
      <c r="F187" s="71"/>
      <c r="G187" s="68">
        <f t="shared" si="88"/>
        <v>0</v>
      </c>
      <c r="H187" s="85"/>
      <c r="I187" s="86"/>
      <c r="J187" s="86"/>
      <c r="K187" s="86"/>
      <c r="L187" s="87">
        <f t="shared" si="89"/>
        <v>0</v>
      </c>
      <c r="M187" s="70"/>
      <c r="N187" s="71"/>
      <c r="O187" s="71"/>
      <c r="P187" s="68">
        <f t="shared" si="90"/>
        <v>0</v>
      </c>
      <c r="Q187" s="85"/>
      <c r="R187" s="86"/>
      <c r="S187" s="86"/>
      <c r="T187" s="87">
        <f t="shared" si="92"/>
        <v>0</v>
      </c>
      <c r="U187" s="107"/>
      <c r="V187" s="71"/>
      <c r="W187" s="71"/>
      <c r="X187" s="68">
        <f t="shared" si="91"/>
        <v>0</v>
      </c>
    </row>
    <row r="188" spans="1:24" s="117" customFormat="1" ht="9.4" hidden="1" customHeight="1" x14ac:dyDescent="0.25">
      <c r="A188" s="301"/>
      <c r="B188" s="303"/>
      <c r="C188" s="70"/>
      <c r="D188" s="71"/>
      <c r="E188" s="71"/>
      <c r="F188" s="71"/>
      <c r="G188" s="68">
        <f t="shared" si="88"/>
        <v>0</v>
      </c>
      <c r="H188" s="85"/>
      <c r="I188" s="86"/>
      <c r="J188" s="86"/>
      <c r="K188" s="86"/>
      <c r="L188" s="87">
        <f t="shared" si="89"/>
        <v>0</v>
      </c>
      <c r="M188" s="70"/>
      <c r="N188" s="71"/>
      <c r="O188" s="71"/>
      <c r="P188" s="68">
        <f t="shared" si="90"/>
        <v>0</v>
      </c>
      <c r="Q188" s="85"/>
      <c r="R188" s="86"/>
      <c r="S188" s="86"/>
      <c r="T188" s="87">
        <f t="shared" si="92"/>
        <v>0</v>
      </c>
      <c r="U188" s="107"/>
      <c r="V188" s="71"/>
      <c r="W188" s="71"/>
      <c r="X188" s="68">
        <f t="shared" si="91"/>
        <v>0</v>
      </c>
    </row>
    <row r="189" spans="1:24" s="117" customFormat="1" x14ac:dyDescent="0.25">
      <c r="A189" s="301"/>
      <c r="B189" s="303"/>
      <c r="C189" s="70"/>
      <c r="D189" s="71"/>
      <c r="E189" s="71"/>
      <c r="F189" s="71"/>
      <c r="G189" s="68">
        <f t="shared" si="88"/>
        <v>0</v>
      </c>
      <c r="H189" s="85"/>
      <c r="I189" s="86"/>
      <c r="J189" s="86"/>
      <c r="K189" s="86"/>
      <c r="L189" s="87">
        <f t="shared" si="89"/>
        <v>0</v>
      </c>
      <c r="M189" s="70"/>
      <c r="N189" s="71"/>
      <c r="O189" s="71"/>
      <c r="P189" s="68">
        <f t="shared" si="90"/>
        <v>0</v>
      </c>
      <c r="Q189" s="85"/>
      <c r="R189" s="86"/>
      <c r="S189" s="86"/>
      <c r="T189" s="87">
        <f t="shared" si="92"/>
        <v>0</v>
      </c>
      <c r="U189" s="107"/>
      <c r="V189" s="71"/>
      <c r="W189" s="71"/>
      <c r="X189" s="68">
        <f t="shared" si="91"/>
        <v>0</v>
      </c>
    </row>
    <row r="190" spans="1:24" s="117" customFormat="1" ht="90" customHeight="1" x14ac:dyDescent="0.25">
      <c r="A190" s="301" t="s">
        <v>295</v>
      </c>
      <c r="B190" s="303">
        <f>SUM(G190:G198)++SUM(L190:L198)+SUM(P190:P198)+SUM(X190:X198)</f>
        <v>2508000</v>
      </c>
      <c r="C190" s="156" t="s">
        <v>214</v>
      </c>
      <c r="D190" s="71">
        <f>Prices!B3</f>
        <v>3080</v>
      </c>
      <c r="E190" s="71">
        <v>48</v>
      </c>
      <c r="F190" s="71">
        <v>5</v>
      </c>
      <c r="G190" s="68">
        <f t="shared" si="80"/>
        <v>739200</v>
      </c>
      <c r="H190" s="85"/>
      <c r="I190" s="86"/>
      <c r="J190" s="86"/>
      <c r="K190" s="86"/>
      <c r="L190" s="87">
        <f t="shared" si="79"/>
        <v>0</v>
      </c>
      <c r="M190" s="70" t="s">
        <v>140</v>
      </c>
      <c r="N190" s="71">
        <v>500000</v>
      </c>
      <c r="O190" s="71">
        <v>1</v>
      </c>
      <c r="P190" s="68">
        <f t="shared" ref="P190:P198" si="93">N190*O190</f>
        <v>500000</v>
      </c>
      <c r="Q190" s="85"/>
      <c r="R190" s="86"/>
      <c r="S190" s="86"/>
      <c r="T190" s="87">
        <f t="shared" ref="T190" si="94">R190*S190</f>
        <v>0</v>
      </c>
      <c r="U190" s="107"/>
      <c r="V190" s="71"/>
      <c r="W190" s="71"/>
      <c r="X190" s="68">
        <f>V190*W190</f>
        <v>0</v>
      </c>
    </row>
    <row r="191" spans="1:24" s="117" customFormat="1" ht="195" x14ac:dyDescent="0.25">
      <c r="A191" s="301"/>
      <c r="B191" s="303"/>
      <c r="C191" s="70" t="s">
        <v>231</v>
      </c>
      <c r="D191" s="71">
        <f>Prices!D2</f>
        <v>16500</v>
      </c>
      <c r="E191" s="71">
        <v>12</v>
      </c>
      <c r="F191" s="71">
        <v>4</v>
      </c>
      <c r="G191" s="68">
        <f t="shared" si="80"/>
        <v>792000</v>
      </c>
      <c r="H191" s="85"/>
      <c r="I191" s="86"/>
      <c r="J191" s="86"/>
      <c r="K191" s="86"/>
      <c r="L191" s="87">
        <f t="shared" si="79"/>
        <v>0</v>
      </c>
      <c r="M191" s="70" t="s">
        <v>240</v>
      </c>
      <c r="N191" s="71">
        <v>60000</v>
      </c>
      <c r="O191" s="71">
        <v>2</v>
      </c>
      <c r="P191" s="68">
        <f>N191*O191</f>
        <v>120000</v>
      </c>
      <c r="Q191" s="85"/>
      <c r="R191" s="86"/>
      <c r="S191" s="86"/>
      <c r="T191" s="87">
        <f t="shared" ref="T191:T198" si="95">R191*S191</f>
        <v>0</v>
      </c>
      <c r="U191" s="107"/>
      <c r="V191" s="71"/>
      <c r="W191" s="71"/>
      <c r="X191" s="68">
        <f t="shared" ref="X191:X197" si="96">V191*W191</f>
        <v>0</v>
      </c>
    </row>
    <row r="192" spans="1:24" s="117" customFormat="1" ht="105" x14ac:dyDescent="0.25">
      <c r="A192" s="301"/>
      <c r="B192" s="303"/>
      <c r="C192" s="70"/>
      <c r="D192" s="71"/>
      <c r="E192" s="71"/>
      <c r="F192" s="71"/>
      <c r="G192" s="68">
        <f t="shared" si="80"/>
        <v>0</v>
      </c>
      <c r="H192" s="85"/>
      <c r="I192" s="86"/>
      <c r="J192" s="86"/>
      <c r="K192" s="86"/>
      <c r="L192" s="87">
        <f t="shared" si="79"/>
        <v>0</v>
      </c>
      <c r="M192" s="70" t="s">
        <v>132</v>
      </c>
      <c r="N192" s="71">
        <v>370000</v>
      </c>
      <c r="O192" s="71">
        <v>0.64000000000000012</v>
      </c>
      <c r="P192" s="68">
        <f>N192*O192</f>
        <v>236800.00000000006</v>
      </c>
      <c r="Q192" s="85"/>
      <c r="R192" s="86"/>
      <c r="S192" s="86"/>
      <c r="T192" s="87">
        <f t="shared" si="95"/>
        <v>0</v>
      </c>
      <c r="U192" s="107"/>
      <c r="V192" s="71"/>
      <c r="W192" s="71"/>
      <c r="X192" s="68">
        <f t="shared" si="96"/>
        <v>0</v>
      </c>
    </row>
    <row r="193" spans="1:24" s="117" customFormat="1" ht="90" x14ac:dyDescent="0.25">
      <c r="A193" s="301"/>
      <c r="B193" s="303"/>
      <c r="C193" s="70"/>
      <c r="D193" s="71"/>
      <c r="E193" s="71"/>
      <c r="F193" s="71"/>
      <c r="G193" s="68">
        <f t="shared" si="80"/>
        <v>0</v>
      </c>
      <c r="H193" s="85"/>
      <c r="I193" s="86"/>
      <c r="J193" s="86"/>
      <c r="K193" s="86"/>
      <c r="L193" s="87">
        <f t="shared" si="79"/>
        <v>0</v>
      </c>
      <c r="M193" s="70" t="s">
        <v>281</v>
      </c>
      <c r="N193" s="71">
        <v>6000</v>
      </c>
      <c r="O193" s="71">
        <v>20</v>
      </c>
      <c r="P193" s="68">
        <f>N193*O193</f>
        <v>120000</v>
      </c>
      <c r="Q193" s="85"/>
      <c r="R193" s="86"/>
      <c r="S193" s="86"/>
      <c r="T193" s="87">
        <f t="shared" si="95"/>
        <v>0</v>
      </c>
      <c r="U193" s="107"/>
      <c r="V193" s="71"/>
      <c r="W193" s="71"/>
      <c r="X193" s="68">
        <f t="shared" si="96"/>
        <v>0</v>
      </c>
    </row>
    <row r="194" spans="1:24" s="117" customFormat="1" ht="33.950000000000003" customHeight="1" x14ac:dyDescent="0.25">
      <c r="A194" s="301"/>
      <c r="B194" s="303"/>
      <c r="C194" s="70"/>
      <c r="D194" s="71"/>
      <c r="E194" s="71"/>
      <c r="F194" s="71"/>
      <c r="G194" s="68">
        <f t="shared" si="80"/>
        <v>0</v>
      </c>
      <c r="H194" s="85"/>
      <c r="I194" s="86"/>
      <c r="J194" s="86"/>
      <c r="K194" s="86"/>
      <c r="L194" s="87">
        <f t="shared" si="79"/>
        <v>0</v>
      </c>
      <c r="M194" s="70"/>
      <c r="N194" s="71"/>
      <c r="O194" s="71"/>
      <c r="P194" s="68">
        <f t="shared" si="93"/>
        <v>0</v>
      </c>
      <c r="Q194" s="85"/>
      <c r="R194" s="86"/>
      <c r="S194" s="86"/>
      <c r="T194" s="87">
        <f t="shared" si="95"/>
        <v>0</v>
      </c>
      <c r="U194" s="107"/>
      <c r="V194" s="71"/>
      <c r="W194" s="71"/>
      <c r="X194" s="68">
        <f t="shared" si="96"/>
        <v>0</v>
      </c>
    </row>
    <row r="195" spans="1:24" s="117" customFormat="1" ht="15" hidden="1" customHeight="1" thickBot="1" x14ac:dyDescent="0.3">
      <c r="A195" s="301"/>
      <c r="B195" s="303"/>
      <c r="C195" s="70"/>
      <c r="D195" s="71"/>
      <c r="E195" s="71"/>
      <c r="F195" s="71"/>
      <c r="G195" s="68">
        <f t="shared" si="80"/>
        <v>0</v>
      </c>
      <c r="H195" s="85"/>
      <c r="I195" s="86"/>
      <c r="J195" s="86"/>
      <c r="K195" s="86"/>
      <c r="L195" s="87">
        <f t="shared" ref="L195:L198" si="97">I195*K195</f>
        <v>0</v>
      </c>
      <c r="M195" s="70"/>
      <c r="N195" s="71"/>
      <c r="O195" s="71"/>
      <c r="P195" s="68">
        <f t="shared" si="93"/>
        <v>0</v>
      </c>
      <c r="Q195" s="85"/>
      <c r="R195" s="86"/>
      <c r="S195" s="86"/>
      <c r="T195" s="87">
        <f t="shared" si="95"/>
        <v>0</v>
      </c>
      <c r="U195" s="107"/>
      <c r="V195" s="71"/>
      <c r="W195" s="71"/>
      <c r="X195" s="68">
        <f t="shared" si="96"/>
        <v>0</v>
      </c>
    </row>
    <row r="196" spans="1:24" s="117" customFormat="1" ht="15" hidden="1" customHeight="1" thickBot="1" x14ac:dyDescent="0.3">
      <c r="A196" s="301"/>
      <c r="B196" s="303"/>
      <c r="C196" s="70"/>
      <c r="D196" s="71"/>
      <c r="E196" s="71"/>
      <c r="F196" s="71"/>
      <c r="G196" s="68">
        <f t="shared" si="80"/>
        <v>0</v>
      </c>
      <c r="H196" s="85"/>
      <c r="I196" s="86"/>
      <c r="J196" s="86"/>
      <c r="K196" s="86"/>
      <c r="L196" s="87">
        <f t="shared" si="97"/>
        <v>0</v>
      </c>
      <c r="M196" s="70"/>
      <c r="N196" s="71"/>
      <c r="O196" s="71"/>
      <c r="P196" s="68">
        <f t="shared" si="93"/>
        <v>0</v>
      </c>
      <c r="Q196" s="85"/>
      <c r="R196" s="86"/>
      <c r="S196" s="86"/>
      <c r="T196" s="87">
        <f t="shared" si="95"/>
        <v>0</v>
      </c>
      <c r="U196" s="107"/>
      <c r="V196" s="71"/>
      <c r="W196" s="71"/>
      <c r="X196" s="68">
        <f t="shared" si="96"/>
        <v>0</v>
      </c>
    </row>
    <row r="197" spans="1:24" s="117" customFormat="1" ht="15" hidden="1" customHeight="1" thickBot="1" x14ac:dyDescent="0.3">
      <c r="A197" s="301"/>
      <c r="B197" s="303"/>
      <c r="C197" s="70"/>
      <c r="D197" s="71"/>
      <c r="E197" s="71"/>
      <c r="F197" s="71"/>
      <c r="G197" s="68">
        <f t="shared" si="80"/>
        <v>0</v>
      </c>
      <c r="H197" s="85"/>
      <c r="I197" s="86"/>
      <c r="J197" s="86"/>
      <c r="K197" s="86"/>
      <c r="L197" s="87">
        <f t="shared" si="97"/>
        <v>0</v>
      </c>
      <c r="M197" s="70"/>
      <c r="N197" s="71"/>
      <c r="O197" s="71"/>
      <c r="P197" s="68">
        <f t="shared" si="93"/>
        <v>0</v>
      </c>
      <c r="Q197" s="85"/>
      <c r="R197" s="86"/>
      <c r="S197" s="86"/>
      <c r="T197" s="87">
        <f t="shared" si="95"/>
        <v>0</v>
      </c>
      <c r="U197" s="107"/>
      <c r="V197" s="71"/>
      <c r="W197" s="71"/>
      <c r="X197" s="68">
        <f t="shared" si="96"/>
        <v>0</v>
      </c>
    </row>
    <row r="198" spans="1:24" s="117" customFormat="1" ht="128.25" hidden="1" customHeight="1" thickBot="1" x14ac:dyDescent="0.3">
      <c r="A198" s="301"/>
      <c r="B198" s="303"/>
      <c r="C198" s="70"/>
      <c r="D198" s="71"/>
      <c r="E198" s="71"/>
      <c r="F198" s="71"/>
      <c r="G198" s="68">
        <f t="shared" si="80"/>
        <v>0</v>
      </c>
      <c r="H198" s="85"/>
      <c r="I198" s="86"/>
      <c r="J198" s="86"/>
      <c r="K198" s="86"/>
      <c r="L198" s="87">
        <f t="shared" si="97"/>
        <v>0</v>
      </c>
      <c r="M198" s="70"/>
      <c r="N198" s="71"/>
      <c r="O198" s="71"/>
      <c r="P198" s="68">
        <f t="shared" si="93"/>
        <v>0</v>
      </c>
      <c r="Q198" s="85"/>
      <c r="R198" s="86"/>
      <c r="S198" s="86"/>
      <c r="T198" s="87">
        <f t="shared" si="95"/>
        <v>0</v>
      </c>
      <c r="U198" s="107"/>
      <c r="V198" s="71"/>
      <c r="W198" s="71"/>
      <c r="X198" s="68">
        <f>V198*W198</f>
        <v>0</v>
      </c>
    </row>
    <row r="199" spans="1:24" s="117" customFormat="1" hidden="1" x14ac:dyDescent="0.25">
      <c r="A199" s="128"/>
      <c r="B199" s="115"/>
      <c r="C199" s="115"/>
      <c r="D199" s="115"/>
      <c r="E199" s="115"/>
      <c r="F199" s="115"/>
      <c r="G199" s="68">
        <f t="shared" si="80"/>
        <v>0</v>
      </c>
      <c r="H199" s="115"/>
      <c r="I199" s="115"/>
      <c r="J199" s="115"/>
      <c r="K199" s="115"/>
      <c r="L199" s="115"/>
      <c r="M199" s="115"/>
      <c r="N199" s="115"/>
      <c r="O199" s="115"/>
      <c r="P199" s="115"/>
      <c r="Q199" s="115"/>
      <c r="R199" s="115"/>
      <c r="S199" s="115"/>
      <c r="T199" s="115"/>
      <c r="U199" s="115"/>
      <c r="V199" s="115"/>
      <c r="W199" s="115"/>
      <c r="X199" s="115"/>
    </row>
    <row r="200" spans="1:24" s="117" customFormat="1" ht="110.25" customHeight="1" x14ac:dyDescent="0.25">
      <c r="A200" s="292" t="s">
        <v>245</v>
      </c>
      <c r="B200" s="295">
        <f>SUM(G200:G204)+SUM(L200:L204)+SUM(P200:P204)+SUM(T200:T204)+SUM(X200:X204)</f>
        <v>228000</v>
      </c>
      <c r="C200" s="70" t="s">
        <v>125</v>
      </c>
      <c r="D200" s="71">
        <f>Prices!D2</f>
        <v>16500</v>
      </c>
      <c r="E200" s="71">
        <v>6</v>
      </c>
      <c r="F200" s="71">
        <v>2</v>
      </c>
      <c r="G200" s="68">
        <f>D200*E200*F200</f>
        <v>198000</v>
      </c>
      <c r="H200" s="85"/>
      <c r="I200" s="86"/>
      <c r="J200" s="86"/>
      <c r="K200" s="86"/>
      <c r="L200" s="87">
        <f>I200*J200*K200</f>
        <v>0</v>
      </c>
      <c r="M200" s="70"/>
      <c r="N200" s="71"/>
      <c r="O200" s="71"/>
      <c r="P200" s="68">
        <f>N200*O200</f>
        <v>0</v>
      </c>
      <c r="Q200" s="85" t="s">
        <v>119</v>
      </c>
      <c r="R200" s="86">
        <v>3</v>
      </c>
      <c r="S200" s="86">
        <v>10000</v>
      </c>
      <c r="T200" s="87">
        <f>R200*S200</f>
        <v>30000</v>
      </c>
      <c r="U200" s="107"/>
      <c r="V200" s="71"/>
      <c r="W200" s="71"/>
      <c r="X200" s="68">
        <f t="shared" ref="X200:X203" si="98">V200*W200</f>
        <v>0</v>
      </c>
    </row>
    <row r="201" spans="1:24" s="117" customFormat="1" x14ac:dyDescent="0.25">
      <c r="A201" s="293"/>
      <c r="B201" s="293"/>
      <c r="C201" s="70"/>
      <c r="D201" s="71">
        <v>0</v>
      </c>
      <c r="E201" s="71">
        <v>0</v>
      </c>
      <c r="F201" s="71">
        <v>0</v>
      </c>
      <c r="G201" s="68">
        <f>D201*E201*F201</f>
        <v>0</v>
      </c>
      <c r="H201" s="85"/>
      <c r="I201" s="86"/>
      <c r="J201" s="86"/>
      <c r="K201" s="86"/>
      <c r="L201" s="87">
        <f>I201*J201*K201</f>
        <v>0</v>
      </c>
      <c r="M201" s="70"/>
      <c r="N201" s="71"/>
      <c r="O201" s="71"/>
      <c r="P201" s="68">
        <f>N201*O201</f>
        <v>0</v>
      </c>
      <c r="Q201" s="85"/>
      <c r="R201" s="86"/>
      <c r="S201" s="86"/>
      <c r="T201" s="87">
        <f>R201*S201</f>
        <v>0</v>
      </c>
      <c r="U201" s="107"/>
      <c r="V201" s="71"/>
      <c r="W201" s="71"/>
      <c r="X201" s="68">
        <f t="shared" si="98"/>
        <v>0</v>
      </c>
    </row>
    <row r="202" spans="1:24" s="117" customFormat="1" x14ac:dyDescent="0.25">
      <c r="A202" s="293"/>
      <c r="B202" s="293"/>
      <c r="C202" s="70"/>
      <c r="D202" s="71"/>
      <c r="E202" s="71"/>
      <c r="F202" s="71"/>
      <c r="G202" s="68">
        <f>D202*E202*F202</f>
        <v>0</v>
      </c>
      <c r="H202" s="85"/>
      <c r="I202" s="86"/>
      <c r="J202" s="86"/>
      <c r="K202" s="86"/>
      <c r="L202" s="87">
        <f>I202*J202*K202</f>
        <v>0</v>
      </c>
      <c r="M202" s="70"/>
      <c r="N202" s="71"/>
      <c r="O202" s="71"/>
      <c r="P202" s="68">
        <f>N202*O202</f>
        <v>0</v>
      </c>
      <c r="Q202" s="85"/>
      <c r="R202" s="86"/>
      <c r="S202" s="86"/>
      <c r="T202" s="87">
        <f>R202*S202</f>
        <v>0</v>
      </c>
      <c r="U202" s="107"/>
      <c r="V202" s="71"/>
      <c r="W202" s="71"/>
      <c r="X202" s="68">
        <f t="shared" si="98"/>
        <v>0</v>
      </c>
    </row>
    <row r="203" spans="1:24" s="117" customFormat="1" ht="18" customHeight="1" x14ac:dyDescent="0.25">
      <c r="A203" s="293"/>
      <c r="B203" s="293"/>
      <c r="C203" s="70"/>
      <c r="D203" s="71"/>
      <c r="E203" s="71"/>
      <c r="F203" s="71"/>
      <c r="G203" s="68">
        <f>D203*E203*F203</f>
        <v>0</v>
      </c>
      <c r="H203" s="85"/>
      <c r="I203" s="86"/>
      <c r="J203" s="86"/>
      <c r="K203" s="86"/>
      <c r="L203" s="87">
        <f>I203*J203*K203</f>
        <v>0</v>
      </c>
      <c r="M203" s="70"/>
      <c r="N203" s="71"/>
      <c r="O203" s="71"/>
      <c r="P203" s="68">
        <f>N203*O203</f>
        <v>0</v>
      </c>
      <c r="Q203" s="85"/>
      <c r="R203" s="86"/>
      <c r="S203" s="86"/>
      <c r="T203" s="87">
        <f>R203*S203</f>
        <v>0</v>
      </c>
      <c r="U203" s="107"/>
      <c r="V203" s="71"/>
      <c r="W203" s="71"/>
      <c r="X203" s="68">
        <f t="shared" si="98"/>
        <v>0</v>
      </c>
    </row>
    <row r="204" spans="1:24" s="117" customFormat="1" ht="18" customHeight="1" x14ac:dyDescent="0.25">
      <c r="A204" s="294"/>
      <c r="B204" s="294"/>
      <c r="C204" s="70"/>
      <c r="D204" s="71"/>
      <c r="E204" s="71"/>
      <c r="F204" s="71"/>
      <c r="G204" s="68">
        <f>D204*E204*F204</f>
        <v>0</v>
      </c>
      <c r="H204" s="85"/>
      <c r="I204" s="86"/>
      <c r="J204" s="86"/>
      <c r="K204" s="86"/>
      <c r="L204" s="87">
        <f>I204*J204*K204</f>
        <v>0</v>
      </c>
      <c r="M204" s="70"/>
      <c r="N204" s="71"/>
      <c r="O204" s="71"/>
      <c r="P204" s="68">
        <f>N204*O204</f>
        <v>0</v>
      </c>
      <c r="Q204" s="85"/>
      <c r="R204" s="86"/>
      <c r="S204" s="86"/>
      <c r="T204" s="87"/>
      <c r="U204" s="107"/>
      <c r="V204" s="71"/>
      <c r="W204" s="71"/>
      <c r="X204" s="68"/>
    </row>
    <row r="205" spans="1:24" s="117" customFormat="1" ht="17.100000000000001" customHeight="1" x14ac:dyDescent="0.25">
      <c r="A205" s="340"/>
      <c r="B205" s="330"/>
      <c r="C205" s="330"/>
      <c r="D205" s="330"/>
      <c r="E205" s="330"/>
      <c r="F205" s="330"/>
      <c r="G205" s="330"/>
      <c r="H205" s="330"/>
      <c r="I205" s="330"/>
      <c r="J205" s="330"/>
      <c r="K205" s="330"/>
      <c r="L205" s="330"/>
      <c r="M205" s="330"/>
      <c r="N205" s="330"/>
      <c r="O205" s="330"/>
      <c r="P205" s="330"/>
      <c r="Q205" s="330"/>
      <c r="R205" s="330"/>
      <c r="S205" s="330"/>
      <c r="T205" s="330"/>
      <c r="U205" s="330"/>
      <c r="V205" s="330"/>
      <c r="W205" s="330"/>
      <c r="X205" s="330"/>
    </row>
    <row r="206" spans="1:24" s="117" customFormat="1" ht="15.75" x14ac:dyDescent="0.25">
      <c r="A206" s="120" t="s">
        <v>141</v>
      </c>
      <c r="B206" s="121">
        <f>SUM(B209:B218)</f>
        <v>3168268</v>
      </c>
      <c r="C206" s="341" t="s">
        <v>142</v>
      </c>
      <c r="D206" s="330"/>
      <c r="E206" s="330"/>
      <c r="F206" s="330"/>
      <c r="G206" s="330"/>
      <c r="H206" s="330"/>
      <c r="I206" s="330"/>
      <c r="J206" s="330"/>
      <c r="K206" s="330"/>
      <c r="L206" s="330"/>
      <c r="M206" s="330"/>
      <c r="N206" s="330"/>
      <c r="O206" s="330"/>
      <c r="P206" s="330"/>
      <c r="Q206" s="330"/>
      <c r="R206" s="330"/>
      <c r="S206" s="330"/>
      <c r="T206" s="330"/>
      <c r="U206" s="330"/>
      <c r="V206" s="330"/>
      <c r="W206" s="330"/>
      <c r="X206" s="330"/>
    </row>
    <row r="207" spans="1:24" s="117" customFormat="1" ht="14.45" customHeight="1" x14ac:dyDescent="0.25">
      <c r="A207" s="332" t="s">
        <v>144</v>
      </c>
      <c r="B207" s="333"/>
      <c r="C207" s="337" t="s">
        <v>43</v>
      </c>
      <c r="D207" s="344"/>
      <c r="E207" s="344"/>
      <c r="F207" s="344"/>
      <c r="G207" s="344"/>
      <c r="H207" s="342" t="s">
        <v>44</v>
      </c>
      <c r="I207" s="343"/>
      <c r="J207" s="343"/>
      <c r="K207" s="343"/>
      <c r="L207" s="343"/>
      <c r="M207" s="290" t="s">
        <v>45</v>
      </c>
      <c r="N207" s="291"/>
      <c r="O207" s="291"/>
      <c r="P207" s="291"/>
      <c r="Q207" s="290" t="s">
        <v>51</v>
      </c>
      <c r="R207" s="291"/>
      <c r="S207" s="291"/>
      <c r="T207" s="291"/>
      <c r="U207" s="290" t="s">
        <v>46</v>
      </c>
      <c r="V207" s="291"/>
      <c r="W207" s="291"/>
      <c r="X207" s="291"/>
    </row>
    <row r="208" spans="1:24" s="117" customFormat="1" ht="57.75" thickBot="1" x14ac:dyDescent="0.3">
      <c r="A208" s="333"/>
      <c r="B208" s="333"/>
      <c r="C208" s="118" t="s">
        <v>48</v>
      </c>
      <c r="D208" s="119" t="s">
        <v>72</v>
      </c>
      <c r="E208" s="119"/>
      <c r="F208" s="119" t="s">
        <v>108</v>
      </c>
      <c r="G208" s="118" t="s">
        <v>2</v>
      </c>
      <c r="H208" s="118" t="s">
        <v>48</v>
      </c>
      <c r="I208" s="119" t="s">
        <v>49</v>
      </c>
      <c r="J208" s="119" t="s">
        <v>184</v>
      </c>
      <c r="K208" s="119" t="s">
        <v>183</v>
      </c>
      <c r="L208" s="118" t="s">
        <v>2</v>
      </c>
      <c r="M208" s="118" t="s">
        <v>48</v>
      </c>
      <c r="N208" s="119" t="s">
        <v>49</v>
      </c>
      <c r="O208" s="118" t="s">
        <v>50</v>
      </c>
      <c r="P208" s="118" t="s">
        <v>2</v>
      </c>
      <c r="Q208" s="118" t="s">
        <v>48</v>
      </c>
      <c r="R208" s="119" t="s">
        <v>49</v>
      </c>
      <c r="S208" s="118" t="s">
        <v>50</v>
      </c>
      <c r="T208" s="118" t="s">
        <v>2</v>
      </c>
      <c r="U208" s="118" t="s">
        <v>48</v>
      </c>
      <c r="V208" s="119" t="s">
        <v>49</v>
      </c>
      <c r="W208" s="118" t="s">
        <v>47</v>
      </c>
      <c r="X208" s="118" t="s">
        <v>2</v>
      </c>
    </row>
    <row r="209" spans="1:24" s="117" customFormat="1" ht="85.7" customHeight="1" thickBot="1" x14ac:dyDescent="0.3">
      <c r="A209" s="301" t="s">
        <v>274</v>
      </c>
      <c r="B209" s="328">
        <f>SUM(G209:G213)+SUM(L209:L213)+SUM(P209:P213)+SUM(T209:T213)</f>
        <v>1135600</v>
      </c>
      <c r="C209" s="182" t="s">
        <v>128</v>
      </c>
      <c r="D209" s="179">
        <f>Prices!D2</f>
        <v>16500</v>
      </c>
      <c r="E209" s="71">
        <v>3</v>
      </c>
      <c r="F209" s="71">
        <v>2</v>
      </c>
      <c r="G209" s="68">
        <f t="shared" ref="G209:G218" si="99">D209*E209*F209</f>
        <v>99000</v>
      </c>
      <c r="H209" s="85"/>
      <c r="I209" s="86"/>
      <c r="J209" s="86"/>
      <c r="K209" s="86"/>
      <c r="L209" s="87">
        <f t="shared" ref="L209:L218" si="100">I209*J209*K209</f>
        <v>0</v>
      </c>
      <c r="M209" s="70" t="s">
        <v>148</v>
      </c>
      <c r="N209" s="71">
        <v>1</v>
      </c>
      <c r="O209" s="71">
        <v>350000</v>
      </c>
      <c r="P209" s="68">
        <f t="shared" ref="P209:P213" si="101">N209*O209</f>
        <v>350000</v>
      </c>
      <c r="Q209" s="85" t="s">
        <v>143</v>
      </c>
      <c r="R209" s="86">
        <v>2</v>
      </c>
      <c r="S209" s="86">
        <v>10000</v>
      </c>
      <c r="T209" s="87">
        <f t="shared" ref="T209:T212" si="102">R209*S209</f>
        <v>20000</v>
      </c>
      <c r="U209" s="107"/>
      <c r="V209" s="71"/>
      <c r="W209" s="71"/>
      <c r="X209" s="68">
        <f>V209*W209</f>
        <v>0</v>
      </c>
    </row>
    <row r="210" spans="1:24" s="117" customFormat="1" ht="100.5" customHeight="1" x14ac:dyDescent="0.25">
      <c r="A210" s="301"/>
      <c r="B210" s="329"/>
      <c r="C210" s="183" t="s">
        <v>215</v>
      </c>
      <c r="D210" s="71">
        <f>Prices!D2</f>
        <v>16500</v>
      </c>
      <c r="E210" s="71">
        <v>6</v>
      </c>
      <c r="F210" s="71">
        <v>3</v>
      </c>
      <c r="G210" s="68">
        <f t="shared" si="99"/>
        <v>297000</v>
      </c>
      <c r="H210" s="85"/>
      <c r="I210" s="86"/>
      <c r="J210" s="86"/>
      <c r="K210" s="86"/>
      <c r="L210" s="87">
        <f t="shared" si="100"/>
        <v>0</v>
      </c>
      <c r="M210" s="70"/>
      <c r="N210" s="71"/>
      <c r="O210" s="71"/>
      <c r="P210" s="68">
        <f t="shared" si="101"/>
        <v>0</v>
      </c>
      <c r="Q210" s="85"/>
      <c r="R210" s="86"/>
      <c r="S210" s="86"/>
      <c r="T210" s="87">
        <f t="shared" si="102"/>
        <v>0</v>
      </c>
      <c r="U210" s="107"/>
      <c r="V210" s="71"/>
      <c r="W210" s="71"/>
      <c r="X210" s="68">
        <f>V210*W210</f>
        <v>0</v>
      </c>
    </row>
    <row r="211" spans="1:24" s="117" customFormat="1" ht="30" x14ac:dyDescent="0.25">
      <c r="A211" s="301"/>
      <c r="B211" s="330"/>
      <c r="C211" s="156" t="s">
        <v>224</v>
      </c>
      <c r="D211" s="71">
        <f>Prices!B3</f>
        <v>3080</v>
      </c>
      <c r="E211" s="71">
        <v>30</v>
      </c>
      <c r="F211" s="71">
        <v>4</v>
      </c>
      <c r="G211" s="68">
        <f t="shared" si="99"/>
        <v>369600</v>
      </c>
      <c r="H211" s="85"/>
      <c r="I211" s="86"/>
      <c r="J211" s="86"/>
      <c r="K211" s="86"/>
      <c r="L211" s="87">
        <f t="shared" si="100"/>
        <v>0</v>
      </c>
      <c r="M211" s="70"/>
      <c r="N211" s="71"/>
      <c r="O211" s="71"/>
      <c r="P211" s="68">
        <f t="shared" si="101"/>
        <v>0</v>
      </c>
      <c r="Q211" s="85"/>
      <c r="R211" s="86"/>
      <c r="S211" s="86"/>
      <c r="T211" s="87">
        <f t="shared" si="102"/>
        <v>0</v>
      </c>
      <c r="U211" s="107"/>
      <c r="V211" s="71"/>
      <c r="W211" s="71"/>
      <c r="X211" s="68">
        <f>V211*W211</f>
        <v>0</v>
      </c>
    </row>
    <row r="212" spans="1:24" s="117" customFormat="1" x14ac:dyDescent="0.25">
      <c r="A212" s="301"/>
      <c r="B212" s="330"/>
      <c r="C212" s="70"/>
      <c r="D212" s="71"/>
      <c r="E212" s="71"/>
      <c r="F212" s="71"/>
      <c r="G212" s="68">
        <f t="shared" si="99"/>
        <v>0</v>
      </c>
      <c r="H212" s="85"/>
      <c r="I212" s="86"/>
      <c r="J212" s="86"/>
      <c r="K212" s="86"/>
      <c r="L212" s="87">
        <f t="shared" si="100"/>
        <v>0</v>
      </c>
      <c r="M212" s="70"/>
      <c r="N212" s="71"/>
      <c r="O212" s="71"/>
      <c r="P212" s="68">
        <f t="shared" si="101"/>
        <v>0</v>
      </c>
      <c r="Q212" s="85"/>
      <c r="R212" s="86"/>
      <c r="S212" s="86"/>
      <c r="T212" s="87">
        <f t="shared" si="102"/>
        <v>0</v>
      </c>
      <c r="U212" s="107"/>
      <c r="V212" s="71"/>
      <c r="W212" s="71"/>
      <c r="X212" s="68">
        <f>V212*W212</f>
        <v>0</v>
      </c>
    </row>
    <row r="213" spans="1:24" s="117" customFormat="1" x14ac:dyDescent="0.25">
      <c r="A213" s="301"/>
      <c r="B213" s="330"/>
      <c r="C213" s="70"/>
      <c r="D213" s="71"/>
      <c r="E213" s="71"/>
      <c r="F213" s="71"/>
      <c r="G213" s="68">
        <f t="shared" si="99"/>
        <v>0</v>
      </c>
      <c r="H213" s="85"/>
      <c r="I213" s="86"/>
      <c r="J213" s="86"/>
      <c r="K213" s="86"/>
      <c r="L213" s="87">
        <f t="shared" si="100"/>
        <v>0</v>
      </c>
      <c r="M213" s="70"/>
      <c r="N213" s="71"/>
      <c r="O213" s="71"/>
      <c r="P213" s="68">
        <f t="shared" si="101"/>
        <v>0</v>
      </c>
      <c r="Q213" s="85"/>
      <c r="R213" s="86"/>
      <c r="S213" s="86"/>
      <c r="T213" s="87"/>
      <c r="U213" s="107"/>
      <c r="V213" s="71"/>
      <c r="W213" s="71"/>
      <c r="X213" s="68"/>
    </row>
    <row r="214" spans="1:24" s="117" customFormat="1" ht="45" x14ac:dyDescent="0.25">
      <c r="A214" s="301" t="s">
        <v>273</v>
      </c>
      <c r="B214" s="329">
        <f>SUM(G214:G218)+SUM(L214:L218)+SUM(P214:P218)+SUM(T214:T218)</f>
        <v>2032667.9999999998</v>
      </c>
      <c r="C214" s="70" t="s">
        <v>216</v>
      </c>
      <c r="D214" s="71">
        <f>Prices!D2</f>
        <v>16500</v>
      </c>
      <c r="E214" s="71">
        <v>3</v>
      </c>
      <c r="F214" s="71">
        <v>2</v>
      </c>
      <c r="G214" s="68">
        <f t="shared" si="99"/>
        <v>99000</v>
      </c>
      <c r="H214" s="85" t="s">
        <v>217</v>
      </c>
      <c r="I214" s="86">
        <f>Prices!D4</f>
        <v>20354.399999999998</v>
      </c>
      <c r="J214" s="86">
        <v>5</v>
      </c>
      <c r="K214" s="86">
        <v>19</v>
      </c>
      <c r="L214" s="87">
        <f t="shared" si="100"/>
        <v>1933667.9999999998</v>
      </c>
      <c r="M214" s="70"/>
      <c r="N214" s="71"/>
      <c r="O214" s="71"/>
      <c r="P214" s="68">
        <f t="shared" ref="P214:P218" si="103">N214*O214</f>
        <v>0</v>
      </c>
      <c r="Q214" s="85"/>
      <c r="R214" s="86"/>
      <c r="S214" s="86"/>
      <c r="T214" s="87">
        <f t="shared" ref="T214:T217" si="104">R214*S214</f>
        <v>0</v>
      </c>
      <c r="U214" s="107"/>
      <c r="V214" s="71"/>
      <c r="W214" s="71"/>
      <c r="X214" s="68">
        <f>V214*W214</f>
        <v>0</v>
      </c>
    </row>
    <row r="215" spans="1:24" s="117" customFormat="1" x14ac:dyDescent="0.25">
      <c r="A215" s="331"/>
      <c r="B215" s="329"/>
      <c r="C215" s="70"/>
      <c r="D215" s="71"/>
      <c r="E215" s="71"/>
      <c r="F215" s="71"/>
      <c r="G215" s="68">
        <f t="shared" si="99"/>
        <v>0</v>
      </c>
      <c r="H215" s="85"/>
      <c r="I215" s="86"/>
      <c r="J215" s="86"/>
      <c r="K215" s="86"/>
      <c r="L215" s="87">
        <f t="shared" si="100"/>
        <v>0</v>
      </c>
      <c r="M215" s="70"/>
      <c r="N215" s="71"/>
      <c r="O215" s="71"/>
      <c r="P215" s="68">
        <f t="shared" si="103"/>
        <v>0</v>
      </c>
      <c r="Q215" s="85"/>
      <c r="R215" s="86"/>
      <c r="S215" s="86"/>
      <c r="T215" s="87">
        <f t="shared" si="104"/>
        <v>0</v>
      </c>
      <c r="U215" s="107"/>
      <c r="V215" s="71"/>
      <c r="W215" s="71"/>
      <c r="X215" s="68">
        <f>V215*W215</f>
        <v>0</v>
      </c>
    </row>
    <row r="216" spans="1:24" s="117" customFormat="1" ht="14.45" customHeight="1" x14ac:dyDescent="0.25">
      <c r="A216" s="331"/>
      <c r="B216" s="330"/>
      <c r="C216" s="70"/>
      <c r="D216" s="71"/>
      <c r="E216" s="71"/>
      <c r="F216" s="71"/>
      <c r="G216" s="68">
        <f t="shared" si="99"/>
        <v>0</v>
      </c>
      <c r="H216" s="85"/>
      <c r="I216" s="86"/>
      <c r="J216" s="86"/>
      <c r="K216" s="86"/>
      <c r="L216" s="87">
        <f t="shared" si="100"/>
        <v>0</v>
      </c>
      <c r="M216" s="70"/>
      <c r="N216" s="71"/>
      <c r="O216" s="71"/>
      <c r="P216" s="68">
        <f t="shared" si="103"/>
        <v>0</v>
      </c>
      <c r="Q216" s="85"/>
      <c r="R216" s="86"/>
      <c r="S216" s="86"/>
      <c r="T216" s="87">
        <f t="shared" si="104"/>
        <v>0</v>
      </c>
      <c r="U216" s="107"/>
      <c r="V216" s="71"/>
      <c r="W216" s="71"/>
      <c r="X216" s="68">
        <f>V216*W216</f>
        <v>0</v>
      </c>
    </row>
    <row r="217" spans="1:24" s="117" customFormat="1" ht="18" customHeight="1" x14ac:dyDescent="0.25">
      <c r="A217" s="331"/>
      <c r="B217" s="330"/>
      <c r="C217" s="70"/>
      <c r="D217" s="71"/>
      <c r="E217" s="71"/>
      <c r="F217" s="71"/>
      <c r="G217" s="68">
        <f t="shared" si="99"/>
        <v>0</v>
      </c>
      <c r="H217" s="85"/>
      <c r="I217" s="86"/>
      <c r="J217" s="86"/>
      <c r="K217" s="86"/>
      <c r="L217" s="87">
        <f t="shared" si="100"/>
        <v>0</v>
      </c>
      <c r="M217" s="70"/>
      <c r="N217" s="71"/>
      <c r="O217" s="71"/>
      <c r="P217" s="68">
        <f t="shared" si="103"/>
        <v>0</v>
      </c>
      <c r="Q217" s="85"/>
      <c r="R217" s="86"/>
      <c r="S217" s="86"/>
      <c r="T217" s="87">
        <f t="shared" si="104"/>
        <v>0</v>
      </c>
      <c r="U217" s="107"/>
      <c r="V217" s="71"/>
      <c r="W217" s="71"/>
      <c r="X217" s="68">
        <f>V217*W217</f>
        <v>0</v>
      </c>
    </row>
    <row r="218" spans="1:24" s="117" customFormat="1" x14ac:dyDescent="0.25">
      <c r="A218" s="331"/>
      <c r="B218" s="330"/>
      <c r="C218" s="70"/>
      <c r="D218" s="71"/>
      <c r="E218" s="71"/>
      <c r="F218" s="71"/>
      <c r="G218" s="68">
        <f t="shared" si="99"/>
        <v>0</v>
      </c>
      <c r="H218" s="85"/>
      <c r="I218" s="86"/>
      <c r="J218" s="86"/>
      <c r="K218" s="86"/>
      <c r="L218" s="87">
        <f t="shared" si="100"/>
        <v>0</v>
      </c>
      <c r="M218" s="70"/>
      <c r="N218" s="71"/>
      <c r="O218" s="71"/>
      <c r="P218" s="68">
        <f t="shared" si="103"/>
        <v>0</v>
      </c>
      <c r="Q218" s="85"/>
      <c r="R218" s="86"/>
      <c r="S218" s="86"/>
      <c r="T218" s="87"/>
      <c r="U218" s="107"/>
      <c r="V218" s="71"/>
      <c r="W218" s="71"/>
      <c r="X218" s="68"/>
    </row>
    <row r="219" spans="1:24" x14ac:dyDescent="0.25">
      <c r="A219" s="189"/>
      <c r="B219" s="190"/>
      <c r="C219" s="190"/>
      <c r="D219" s="190"/>
      <c r="E219" s="190"/>
      <c r="F219" s="190"/>
      <c r="G219" s="190"/>
      <c r="H219" s="190"/>
      <c r="I219" s="190"/>
      <c r="J219" s="190"/>
      <c r="K219" s="190"/>
      <c r="L219" s="190"/>
      <c r="M219" s="190"/>
      <c r="N219" s="190"/>
      <c r="O219" s="190"/>
      <c r="P219" s="190"/>
      <c r="Q219" s="190"/>
      <c r="R219" s="190"/>
      <c r="S219" s="190"/>
      <c r="T219" s="190"/>
      <c r="U219" s="190"/>
      <c r="V219" s="190"/>
      <c r="W219" s="190"/>
      <c r="X219" s="190"/>
    </row>
    <row r="220" spans="1:24" s="117" customFormat="1" ht="15.75" x14ac:dyDescent="0.25">
      <c r="A220" s="129" t="s">
        <v>54</v>
      </c>
      <c r="B220" s="130">
        <f>SUM(B221:B231)</f>
        <v>2092164</v>
      </c>
      <c r="C220" s="342" t="s">
        <v>65</v>
      </c>
      <c r="D220" s="330"/>
      <c r="E220" s="330"/>
      <c r="F220" s="330"/>
      <c r="G220" s="330"/>
      <c r="H220" s="330"/>
      <c r="I220" s="330"/>
      <c r="J220" s="330"/>
      <c r="K220" s="330"/>
      <c r="L220" s="330"/>
      <c r="M220" s="330"/>
      <c r="N220" s="330"/>
      <c r="O220" s="330"/>
      <c r="P220" s="330"/>
      <c r="Q220" s="330"/>
      <c r="R220" s="330"/>
      <c r="S220" s="330"/>
      <c r="T220" s="330"/>
      <c r="U220" s="330"/>
      <c r="V220" s="330"/>
      <c r="W220" s="330"/>
      <c r="X220" s="330"/>
    </row>
    <row r="221" spans="1:24" s="117" customFormat="1" ht="30" x14ac:dyDescent="0.25">
      <c r="A221" s="131" t="s">
        <v>55</v>
      </c>
      <c r="B221" s="132">
        <f>G221</f>
        <v>244800</v>
      </c>
      <c r="C221" s="70" t="s">
        <v>62</v>
      </c>
      <c r="D221" s="71">
        <v>3400</v>
      </c>
      <c r="E221" s="71">
        <v>72</v>
      </c>
      <c r="F221" s="71">
        <v>1</v>
      </c>
      <c r="G221" s="68">
        <f t="shared" ref="G221:G231" si="105">D221*E221*F221</f>
        <v>244800</v>
      </c>
      <c r="H221" s="85"/>
      <c r="I221" s="86"/>
      <c r="J221" s="86"/>
      <c r="K221" s="86"/>
      <c r="L221" s="87">
        <f t="shared" ref="L221" si="106">I221*K221</f>
        <v>0</v>
      </c>
      <c r="M221" s="70" t="s">
        <v>310</v>
      </c>
      <c r="N221" s="71">
        <v>50000</v>
      </c>
      <c r="O221" s="71">
        <v>1</v>
      </c>
      <c r="P221" s="68">
        <f t="shared" ref="P221:P222" si="107">N221*O221</f>
        <v>50000</v>
      </c>
      <c r="Q221" s="87"/>
      <c r="R221" s="87"/>
      <c r="S221" s="87"/>
      <c r="T221" s="87">
        <f t="shared" ref="T221" si="108">R221*S221</f>
        <v>0</v>
      </c>
      <c r="U221" s="87"/>
      <c r="V221" s="87"/>
      <c r="W221" s="87"/>
      <c r="X221" s="87">
        <f t="shared" ref="X221" si="109">V221*W221</f>
        <v>0</v>
      </c>
    </row>
    <row r="222" spans="1:24" s="266" customFormat="1" ht="28.5" customHeight="1" x14ac:dyDescent="0.25">
      <c r="A222" s="258" t="s">
        <v>317</v>
      </c>
      <c r="B222" s="259">
        <f>P221+P222</f>
        <v>100000</v>
      </c>
      <c r="C222" s="260"/>
      <c r="D222" s="261"/>
      <c r="E222" s="261"/>
      <c r="F222" s="261"/>
      <c r="G222" s="262"/>
      <c r="H222" s="263"/>
      <c r="I222" s="264"/>
      <c r="J222" s="264"/>
      <c r="K222" s="264"/>
      <c r="L222" s="265"/>
      <c r="M222" s="260" t="s">
        <v>311</v>
      </c>
      <c r="N222" s="261">
        <v>50000</v>
      </c>
      <c r="O222" s="261">
        <v>1</v>
      </c>
      <c r="P222" s="68">
        <f t="shared" si="107"/>
        <v>50000</v>
      </c>
      <c r="Q222" s="265"/>
      <c r="R222" s="265"/>
      <c r="S222" s="265"/>
      <c r="T222" s="265"/>
      <c r="U222" s="265"/>
      <c r="V222" s="265"/>
      <c r="W222" s="265"/>
      <c r="X222" s="265"/>
    </row>
    <row r="223" spans="1:24" s="117" customFormat="1" x14ac:dyDescent="0.25">
      <c r="A223" s="131" t="s">
        <v>305</v>
      </c>
      <c r="B223" s="206">
        <f t="shared" ref="B223:B225" si="110">G223</f>
        <v>221760</v>
      </c>
      <c r="C223" s="70"/>
      <c r="D223" s="71">
        <f>Prices!$B$3</f>
        <v>3080</v>
      </c>
      <c r="E223" s="71">
        <v>72</v>
      </c>
      <c r="F223" s="71">
        <v>1</v>
      </c>
      <c r="G223" s="68">
        <f t="shared" si="105"/>
        <v>221760</v>
      </c>
      <c r="H223" s="85"/>
      <c r="I223" s="86"/>
      <c r="J223" s="86"/>
      <c r="K223" s="86"/>
      <c r="L223" s="87">
        <f>I223*K223</f>
        <v>0</v>
      </c>
      <c r="M223" s="70"/>
      <c r="N223" s="71"/>
      <c r="O223" s="71"/>
      <c r="P223" s="68">
        <f>N223*O223</f>
        <v>0</v>
      </c>
      <c r="Q223" s="87"/>
      <c r="R223" s="87"/>
      <c r="S223" s="87"/>
      <c r="T223" s="87">
        <f>R223*S223</f>
        <v>0</v>
      </c>
      <c r="U223" s="87"/>
      <c r="V223" s="87"/>
      <c r="W223" s="87"/>
      <c r="X223" s="87">
        <f>V223*W223</f>
        <v>0</v>
      </c>
    </row>
    <row r="224" spans="1:24" s="117" customFormat="1" x14ac:dyDescent="0.25">
      <c r="A224" s="131" t="s">
        <v>309</v>
      </c>
      <c r="B224" s="206">
        <f t="shared" si="110"/>
        <v>221760</v>
      </c>
      <c r="C224" s="70"/>
      <c r="D224" s="71">
        <f>Prices!$B$3</f>
        <v>3080</v>
      </c>
      <c r="E224" s="71">
        <v>72</v>
      </c>
      <c r="F224" s="71">
        <v>1</v>
      </c>
      <c r="G224" s="68">
        <f t="shared" ref="G224" si="111">D224*E224*F224</f>
        <v>221760</v>
      </c>
      <c r="H224" s="85"/>
      <c r="I224" s="86"/>
      <c r="J224" s="86"/>
      <c r="K224" s="86"/>
      <c r="L224" s="87">
        <f>I224*K224</f>
        <v>0</v>
      </c>
      <c r="M224" s="70"/>
      <c r="N224" s="71"/>
      <c r="O224" s="71"/>
      <c r="P224" s="68">
        <f>N224*O224</f>
        <v>0</v>
      </c>
      <c r="Q224" s="87"/>
      <c r="R224" s="87"/>
      <c r="S224" s="87"/>
      <c r="T224" s="87">
        <f>R224*S224</f>
        <v>0</v>
      </c>
      <c r="U224" s="87"/>
      <c r="V224" s="87"/>
      <c r="W224" s="87"/>
      <c r="X224" s="87">
        <f>V224*W224</f>
        <v>0</v>
      </c>
    </row>
    <row r="225" spans="1:25" s="117" customFormat="1" ht="15.75" customHeight="1" x14ac:dyDescent="0.25">
      <c r="A225" s="131" t="s">
        <v>304</v>
      </c>
      <c r="B225" s="206">
        <f t="shared" si="110"/>
        <v>221760</v>
      </c>
      <c r="C225" s="70"/>
      <c r="D225" s="71">
        <f>Prices!$B$3</f>
        <v>3080</v>
      </c>
      <c r="E225" s="71">
        <v>72</v>
      </c>
      <c r="F225" s="71">
        <v>1</v>
      </c>
      <c r="G225" s="68">
        <f t="shared" si="105"/>
        <v>221760</v>
      </c>
      <c r="H225" s="85"/>
      <c r="I225" s="86"/>
      <c r="J225" s="86"/>
      <c r="K225" s="86"/>
      <c r="L225" s="87">
        <f t="shared" ref="L225:L231" si="112">I225*K225</f>
        <v>0</v>
      </c>
      <c r="M225" s="70"/>
      <c r="N225" s="71"/>
      <c r="O225" s="71"/>
      <c r="P225" s="68">
        <f t="shared" ref="P225:P231" si="113">N225*O225</f>
        <v>0</v>
      </c>
      <c r="Q225" s="87"/>
      <c r="R225" s="87"/>
      <c r="S225" s="87"/>
      <c r="T225" s="87">
        <f t="shared" ref="T225:T231" si="114">R225*S225</f>
        <v>0</v>
      </c>
      <c r="U225" s="87"/>
      <c r="V225" s="87"/>
      <c r="W225" s="87"/>
      <c r="X225" s="87">
        <f t="shared" ref="X225:X231" si="115">V225*W225</f>
        <v>0</v>
      </c>
    </row>
    <row r="226" spans="1:25" s="117" customFormat="1" x14ac:dyDescent="0.25">
      <c r="A226" s="345" t="s">
        <v>56</v>
      </c>
      <c r="B226" s="346">
        <f>SUM(G226:G229)</f>
        <v>170000</v>
      </c>
      <c r="C226" s="70" t="s">
        <v>58</v>
      </c>
      <c r="D226" s="71">
        <v>20000</v>
      </c>
      <c r="E226" s="71">
        <v>1</v>
      </c>
      <c r="F226" s="71">
        <v>1</v>
      </c>
      <c r="G226" s="68">
        <f t="shared" si="105"/>
        <v>20000</v>
      </c>
      <c r="H226" s="85"/>
      <c r="I226" s="86"/>
      <c r="J226" s="86"/>
      <c r="K226" s="86"/>
      <c r="L226" s="87">
        <f t="shared" si="112"/>
        <v>0</v>
      </c>
      <c r="M226" s="70"/>
      <c r="N226" s="71"/>
      <c r="O226" s="71"/>
      <c r="P226" s="68">
        <f t="shared" si="113"/>
        <v>0</v>
      </c>
      <c r="Q226" s="87"/>
      <c r="R226" s="87"/>
      <c r="S226" s="87"/>
      <c r="T226" s="87">
        <f t="shared" si="114"/>
        <v>0</v>
      </c>
      <c r="U226" s="87"/>
      <c r="V226" s="87"/>
      <c r="W226" s="87"/>
      <c r="X226" s="87">
        <f t="shared" si="115"/>
        <v>0</v>
      </c>
    </row>
    <row r="227" spans="1:25" s="117" customFormat="1" ht="15" customHeight="1" x14ac:dyDescent="0.25">
      <c r="A227" s="345"/>
      <c r="B227" s="347"/>
      <c r="C227" s="70" t="s">
        <v>63</v>
      </c>
      <c r="D227" s="71">
        <v>30000</v>
      </c>
      <c r="E227" s="71">
        <v>1</v>
      </c>
      <c r="F227" s="71">
        <v>1</v>
      </c>
      <c r="G227" s="68">
        <f t="shared" si="105"/>
        <v>30000</v>
      </c>
      <c r="H227" s="85"/>
      <c r="I227" s="86"/>
      <c r="J227" s="86"/>
      <c r="K227" s="86"/>
      <c r="L227" s="87">
        <f t="shared" si="112"/>
        <v>0</v>
      </c>
      <c r="M227" s="70"/>
      <c r="N227" s="71"/>
      <c r="O227" s="71"/>
      <c r="P227" s="68">
        <f t="shared" si="113"/>
        <v>0</v>
      </c>
      <c r="Q227" s="87"/>
      <c r="R227" s="87"/>
      <c r="S227" s="87"/>
      <c r="T227" s="87">
        <f t="shared" si="114"/>
        <v>0</v>
      </c>
      <c r="U227" s="87"/>
      <c r="V227" s="87"/>
      <c r="W227" s="87"/>
      <c r="X227" s="87">
        <f t="shared" si="115"/>
        <v>0</v>
      </c>
    </row>
    <row r="228" spans="1:25" s="117" customFormat="1" ht="15" customHeight="1" x14ac:dyDescent="0.25">
      <c r="A228" s="345"/>
      <c r="B228" s="347"/>
      <c r="C228" s="70" t="s">
        <v>59</v>
      </c>
      <c r="D228" s="71">
        <v>100000</v>
      </c>
      <c r="E228" s="71">
        <v>1</v>
      </c>
      <c r="F228" s="71">
        <v>1</v>
      </c>
      <c r="G228" s="68">
        <f t="shared" si="105"/>
        <v>100000</v>
      </c>
      <c r="H228" s="85"/>
      <c r="I228" s="86"/>
      <c r="J228" s="86"/>
      <c r="K228" s="86"/>
      <c r="L228" s="87">
        <f t="shared" si="112"/>
        <v>0</v>
      </c>
      <c r="M228" s="70"/>
      <c r="N228" s="71"/>
      <c r="O228" s="71"/>
      <c r="P228" s="68">
        <f t="shared" si="113"/>
        <v>0</v>
      </c>
      <c r="Q228" s="87"/>
      <c r="R228" s="87"/>
      <c r="S228" s="87"/>
      <c r="T228" s="87">
        <f t="shared" si="114"/>
        <v>0</v>
      </c>
      <c r="U228" s="87"/>
      <c r="V228" s="87"/>
      <c r="W228" s="87"/>
      <c r="X228" s="87">
        <f t="shared" si="115"/>
        <v>0</v>
      </c>
    </row>
    <row r="229" spans="1:25" s="117" customFormat="1" ht="15" customHeight="1" x14ac:dyDescent="0.25">
      <c r="A229" s="345"/>
      <c r="B229" s="347"/>
      <c r="C229" s="70" t="s">
        <v>19</v>
      </c>
      <c r="D229" s="71">
        <v>20000</v>
      </c>
      <c r="E229" s="71">
        <v>1</v>
      </c>
      <c r="F229" s="71">
        <v>1</v>
      </c>
      <c r="G229" s="68">
        <f t="shared" si="105"/>
        <v>20000</v>
      </c>
      <c r="H229" s="85"/>
      <c r="I229" s="86"/>
      <c r="J229" s="86"/>
      <c r="K229" s="86"/>
      <c r="L229" s="87">
        <f t="shared" si="112"/>
        <v>0</v>
      </c>
      <c r="M229" s="70"/>
      <c r="N229" s="71"/>
      <c r="O229" s="71"/>
      <c r="P229" s="68">
        <f t="shared" si="113"/>
        <v>0</v>
      </c>
      <c r="Q229" s="87"/>
      <c r="R229" s="87"/>
      <c r="S229" s="87"/>
      <c r="T229" s="87">
        <f t="shared" si="114"/>
        <v>0</v>
      </c>
      <c r="U229" s="87"/>
      <c r="V229" s="87"/>
      <c r="W229" s="87"/>
      <c r="X229" s="87">
        <f t="shared" si="115"/>
        <v>0</v>
      </c>
    </row>
    <row r="230" spans="1:25" s="117" customFormat="1" ht="18" customHeight="1" x14ac:dyDescent="0.25">
      <c r="A230" s="131" t="s">
        <v>357</v>
      </c>
      <c r="B230" s="206">
        <f t="shared" ref="B230:B231" si="116">G230</f>
        <v>220008</v>
      </c>
      <c r="C230" s="70" t="s">
        <v>60</v>
      </c>
      <c r="D230" s="71">
        <v>20000</v>
      </c>
      <c r="E230" s="71">
        <v>6</v>
      </c>
      <c r="F230" s="71">
        <v>1.8333999999999999</v>
      </c>
      <c r="G230" s="68">
        <f t="shared" si="105"/>
        <v>220008</v>
      </c>
      <c r="H230" s="85"/>
      <c r="I230" s="86"/>
      <c r="J230" s="86"/>
      <c r="K230" s="86"/>
      <c r="L230" s="87">
        <f t="shared" si="112"/>
        <v>0</v>
      </c>
      <c r="M230" s="70"/>
      <c r="N230" s="71"/>
      <c r="O230" s="71"/>
      <c r="P230" s="68">
        <f t="shared" si="113"/>
        <v>0</v>
      </c>
      <c r="Q230" s="87"/>
      <c r="R230" s="87"/>
      <c r="S230" s="87"/>
      <c r="T230" s="87">
        <f t="shared" si="114"/>
        <v>0</v>
      </c>
      <c r="U230" s="87"/>
      <c r="V230" s="87"/>
      <c r="W230" s="87"/>
      <c r="X230" s="87">
        <f t="shared" si="115"/>
        <v>0</v>
      </c>
    </row>
    <row r="231" spans="1:25" s="117" customFormat="1" ht="57.75" customHeight="1" x14ac:dyDescent="0.25">
      <c r="A231" s="131" t="s">
        <v>302</v>
      </c>
      <c r="B231" s="206">
        <f t="shared" si="116"/>
        <v>692076</v>
      </c>
      <c r="C231" s="70" t="s">
        <v>64</v>
      </c>
      <c r="D231" s="71">
        <f>Prices!D2</f>
        <v>16500</v>
      </c>
      <c r="E231" s="71">
        <v>14</v>
      </c>
      <c r="F231" s="71">
        <v>2.996</v>
      </c>
      <c r="G231" s="68">
        <f t="shared" si="105"/>
        <v>692076</v>
      </c>
      <c r="H231" s="85"/>
      <c r="I231" s="86"/>
      <c r="J231" s="86"/>
      <c r="K231" s="86"/>
      <c r="L231" s="87">
        <f t="shared" si="112"/>
        <v>0</v>
      </c>
      <c r="M231" s="70"/>
      <c r="N231" s="71"/>
      <c r="O231" s="71"/>
      <c r="P231" s="68">
        <f t="shared" si="113"/>
        <v>0</v>
      </c>
      <c r="Q231" s="87"/>
      <c r="R231" s="87"/>
      <c r="S231" s="87"/>
      <c r="T231" s="87">
        <f t="shared" si="114"/>
        <v>0</v>
      </c>
      <c r="U231" s="87"/>
      <c r="V231" s="87"/>
      <c r="W231" s="87"/>
      <c r="X231" s="87">
        <f t="shared" si="115"/>
        <v>0</v>
      </c>
    </row>
    <row r="232" spans="1:25" s="117" customFormat="1" ht="15.75" x14ac:dyDescent="0.25">
      <c r="A232" s="339" t="s">
        <v>61</v>
      </c>
      <c r="B232" s="330"/>
      <c r="C232" s="133"/>
      <c r="D232" s="134"/>
      <c r="E232" s="134"/>
      <c r="F232" s="134"/>
      <c r="G232" s="135">
        <f>SUM(G221:G231)</f>
        <v>1992164</v>
      </c>
      <c r="H232" s="136"/>
      <c r="I232" s="134"/>
      <c r="J232" s="134"/>
      <c r="K232" s="134"/>
      <c r="L232" s="135"/>
      <c r="M232" s="133"/>
      <c r="N232" s="134"/>
      <c r="O232" s="134"/>
      <c r="P232" s="135"/>
      <c r="Q232" s="136"/>
      <c r="R232" s="134"/>
      <c r="S232" s="134"/>
      <c r="T232" s="135"/>
      <c r="U232" s="136"/>
      <c r="V232" s="134"/>
      <c r="W232" s="134"/>
      <c r="X232" s="135"/>
    </row>
    <row r="233" spans="1:25" s="117" customFormat="1" x14ac:dyDescent="0.25">
      <c r="A233" s="115" t="s">
        <v>112</v>
      </c>
      <c r="B233" s="137">
        <f>40000000-(B220+B206+B89+B5)</f>
        <v>1910247.6000000015</v>
      </c>
      <c r="C233" s="115"/>
      <c r="D233" s="115"/>
      <c r="E233" s="115"/>
      <c r="F233" s="115"/>
      <c r="G233" s="138"/>
      <c r="H233" s="115"/>
      <c r="I233" s="115"/>
      <c r="J233" s="115"/>
      <c r="K233" s="115"/>
      <c r="L233" s="115"/>
      <c r="M233" s="115"/>
      <c r="N233" s="115"/>
      <c r="O233" s="115"/>
      <c r="P233" s="115"/>
      <c r="Q233" s="115"/>
      <c r="R233" s="115"/>
      <c r="S233" s="115"/>
      <c r="T233" s="115"/>
      <c r="U233" s="115"/>
      <c r="V233" s="115"/>
      <c r="W233" s="115"/>
      <c r="X233" s="115"/>
    </row>
    <row r="234" spans="1:25" s="117" customFormat="1" ht="15.75" x14ac:dyDescent="0.25">
      <c r="A234" s="184"/>
      <c r="B234" s="184"/>
      <c r="C234" s="185"/>
      <c r="D234" s="186"/>
      <c r="E234" s="186"/>
      <c r="F234" s="186"/>
      <c r="G234" s="187">
        <f>SUM(G7:G231)</f>
        <v>12196484</v>
      </c>
      <c r="H234" s="188"/>
      <c r="I234" s="186"/>
      <c r="J234" s="186"/>
      <c r="K234" s="186"/>
      <c r="L234" s="187">
        <f>SUM(L7:L231)</f>
        <v>4837658.3999999994</v>
      </c>
      <c r="M234" s="185"/>
      <c r="N234" s="186"/>
      <c r="O234" s="186"/>
      <c r="P234" s="187">
        <f>SUM(P7:P231)</f>
        <v>14595610</v>
      </c>
      <c r="Q234" s="188"/>
      <c r="R234" s="186"/>
      <c r="S234" s="186"/>
      <c r="T234" s="187">
        <f>SUM(T7:T231)</f>
        <v>50000</v>
      </c>
      <c r="U234" s="188"/>
      <c r="V234" s="186"/>
      <c r="W234" s="186"/>
      <c r="X234" s="187">
        <f>SUM(X7:X231)</f>
        <v>6410000</v>
      </c>
      <c r="Y234" s="191">
        <f>X234+T234+P234+L234+G234+B233</f>
        <v>40000000</v>
      </c>
    </row>
    <row r="236" spans="1:25" x14ac:dyDescent="0.25">
      <c r="H236" s="194"/>
    </row>
    <row r="237" spans="1:25" x14ac:dyDescent="0.25">
      <c r="B237" s="418">
        <f>B233+B220+B206+B89+B5</f>
        <v>40000000</v>
      </c>
      <c r="P237" s="194"/>
    </row>
  </sheetData>
  <mergeCells count="97">
    <mergeCell ref="C2:E3"/>
    <mergeCell ref="H2:L3"/>
    <mergeCell ref="A90:B91"/>
    <mergeCell ref="A88:X88"/>
    <mergeCell ref="C89:X89"/>
    <mergeCell ref="H90:L90"/>
    <mergeCell ref="M90:P90"/>
    <mergeCell ref="A12:A15"/>
    <mergeCell ref="B12:B15"/>
    <mergeCell ref="A40:A43"/>
    <mergeCell ref="B40:B43"/>
    <mergeCell ref="A84:A87"/>
    <mergeCell ref="B84:B87"/>
    <mergeCell ref="A16:A19"/>
    <mergeCell ref="A20:A23"/>
    <mergeCell ref="A45:A49"/>
    <mergeCell ref="A232:B232"/>
    <mergeCell ref="A149:A157"/>
    <mergeCell ref="B149:B157"/>
    <mergeCell ref="A158:A166"/>
    <mergeCell ref="B158:B166"/>
    <mergeCell ref="A172:A180"/>
    <mergeCell ref="B172:B180"/>
    <mergeCell ref="A190:A198"/>
    <mergeCell ref="B190:B198"/>
    <mergeCell ref="A205:X205"/>
    <mergeCell ref="C206:X206"/>
    <mergeCell ref="H207:L207"/>
    <mergeCell ref="C220:X220"/>
    <mergeCell ref="C207:G207"/>
    <mergeCell ref="A226:A229"/>
    <mergeCell ref="B226:B229"/>
    <mergeCell ref="A83:X83"/>
    <mergeCell ref="A209:A213"/>
    <mergeCell ref="B209:B213"/>
    <mergeCell ref="A214:A218"/>
    <mergeCell ref="B214:B218"/>
    <mergeCell ref="A207:B208"/>
    <mergeCell ref="A143:A148"/>
    <mergeCell ref="B143:B148"/>
    <mergeCell ref="U90:X90"/>
    <mergeCell ref="C90:G90"/>
    <mergeCell ref="A181:A189"/>
    <mergeCell ref="B181:B189"/>
    <mergeCell ref="Q90:T90"/>
    <mergeCell ref="A134:A142"/>
    <mergeCell ref="A98:A101"/>
    <mergeCell ref="B109:B120"/>
    <mergeCell ref="B16:B19"/>
    <mergeCell ref="A54:A56"/>
    <mergeCell ref="B54:B56"/>
    <mergeCell ref="B50:B53"/>
    <mergeCell ref="B45:B49"/>
    <mergeCell ref="A32:A35"/>
    <mergeCell ref="B32:B35"/>
    <mergeCell ref="A36:A39"/>
    <mergeCell ref="B36:B39"/>
    <mergeCell ref="A50:A53"/>
    <mergeCell ref="C1:X1"/>
    <mergeCell ref="C5:X5"/>
    <mergeCell ref="A11:X11"/>
    <mergeCell ref="A44:X44"/>
    <mergeCell ref="B20:B23"/>
    <mergeCell ref="A24:A27"/>
    <mergeCell ref="A28:A31"/>
    <mergeCell ref="B24:B27"/>
    <mergeCell ref="B28:B31"/>
    <mergeCell ref="U2:X2"/>
    <mergeCell ref="A2:B4"/>
    <mergeCell ref="M2:P2"/>
    <mergeCell ref="Q2:T2"/>
    <mergeCell ref="A7:A10"/>
    <mergeCell ref="A6:X6"/>
    <mergeCell ref="B7:B10"/>
    <mergeCell ref="A57:A60"/>
    <mergeCell ref="B57:B60"/>
    <mergeCell ref="A74:A80"/>
    <mergeCell ref="B74:B80"/>
    <mergeCell ref="A62:A69"/>
    <mergeCell ref="B62:B69"/>
    <mergeCell ref="A70:A73"/>
    <mergeCell ref="B70:B73"/>
    <mergeCell ref="A61:X61"/>
    <mergeCell ref="B98:B101"/>
    <mergeCell ref="A102:A108"/>
    <mergeCell ref="M207:P207"/>
    <mergeCell ref="Q207:T207"/>
    <mergeCell ref="U207:X207"/>
    <mergeCell ref="B102:B108"/>
    <mergeCell ref="A109:A120"/>
    <mergeCell ref="A200:A204"/>
    <mergeCell ref="B200:B204"/>
    <mergeCell ref="A167:A171"/>
    <mergeCell ref="B167:B171"/>
    <mergeCell ref="B134:B142"/>
    <mergeCell ref="B121:B133"/>
    <mergeCell ref="A121:A133"/>
  </mergeCells>
  <pageMargins left="0.7" right="0.7" top="0.75" bottom="0.75" header="0.3" footer="0.3"/>
  <pageSetup orientation="landscape" horizontalDpi="4294967294" vertic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55"/>
  <sheetViews>
    <sheetView topLeftCell="A31" zoomScaleNormal="100" workbookViewId="0">
      <selection activeCell="A63" sqref="A63"/>
    </sheetView>
  </sheetViews>
  <sheetFormatPr defaultColWidth="9" defaultRowHeight="15" x14ac:dyDescent="0.25"/>
  <cols>
    <col min="1" max="1" width="58.75" style="80" customWidth="1"/>
    <col min="2" max="2" width="11.25" style="73" bestFit="1" customWidth="1"/>
    <col min="3" max="3" width="5.125" style="82" bestFit="1" customWidth="1"/>
    <col min="4" max="4" width="8.125" style="73" bestFit="1" customWidth="1"/>
    <col min="5" max="5" width="5.125" style="82" bestFit="1" customWidth="1"/>
    <col min="6" max="6" width="8.125" style="73" bestFit="1" customWidth="1"/>
    <col min="7" max="7" width="5.125" style="82" bestFit="1" customWidth="1"/>
    <col min="8" max="8" width="9.125" style="73" bestFit="1" customWidth="1"/>
    <col min="9" max="9" width="5.125" style="82" bestFit="1" customWidth="1"/>
    <col min="10" max="10" width="8.875" style="73" bestFit="1" customWidth="1"/>
    <col min="11" max="11" width="5.125" style="82" bestFit="1" customWidth="1"/>
    <col min="12" max="12" width="8.125" style="73" bestFit="1" customWidth="1"/>
    <col min="13" max="13" width="3.625" style="73" customWidth="1"/>
    <col min="14" max="16" width="2.625" style="73" customWidth="1"/>
    <col min="17" max="17" width="2.25" style="73" customWidth="1"/>
    <col min="18" max="18" width="3.125" style="73" customWidth="1"/>
    <col min="19" max="19" width="2.75" style="73" customWidth="1"/>
    <col min="20" max="20" width="3.25" style="73" customWidth="1"/>
    <col min="21" max="21" width="3.5" style="73" customWidth="1"/>
    <col min="22" max="23" width="2.75" style="73" customWidth="1"/>
    <col min="24" max="24" width="2.875" style="73" customWidth="1"/>
    <col min="25" max="25" width="2.375" style="73" customWidth="1"/>
    <col min="26" max="27" width="2.625" style="73" customWidth="1"/>
    <col min="28" max="28" width="2.875" style="73" customWidth="1"/>
    <col min="29" max="29" width="3" style="73" customWidth="1"/>
    <col min="30" max="32" width="2.625" style="73" customWidth="1"/>
    <col min="33" max="33" width="2.75" style="73" customWidth="1"/>
    <col min="34" max="16384" width="9" style="73"/>
  </cols>
  <sheetData>
    <row r="1" spans="1:39" ht="24" customHeight="1" thickBot="1" x14ac:dyDescent="0.3">
      <c r="A1" s="365" t="s">
        <v>261</v>
      </c>
      <c r="B1" s="366"/>
      <c r="C1" s="366"/>
      <c r="D1" s="366"/>
      <c r="E1" s="366"/>
      <c r="F1" s="366"/>
      <c r="G1" s="366"/>
      <c r="H1" s="366"/>
      <c r="I1" s="366"/>
      <c r="J1" s="366"/>
      <c r="K1" s="366"/>
      <c r="L1" s="366"/>
      <c r="M1" s="367"/>
      <c r="N1" s="367"/>
      <c r="O1" s="367"/>
      <c r="P1" s="367"/>
      <c r="Q1" s="367"/>
      <c r="R1" s="367"/>
      <c r="S1" s="367"/>
      <c r="T1" s="367"/>
      <c r="U1" s="367"/>
      <c r="V1" s="367"/>
      <c r="W1" s="367"/>
      <c r="X1" s="367"/>
      <c r="Y1" s="367"/>
      <c r="Z1" s="367"/>
      <c r="AA1" s="367"/>
      <c r="AB1" s="367"/>
      <c r="AC1" s="367"/>
      <c r="AD1" s="367"/>
      <c r="AE1" s="367"/>
      <c r="AF1" s="367"/>
      <c r="AG1" s="367"/>
    </row>
    <row r="2" spans="1:39" ht="16.5" thickBot="1" x14ac:dyDescent="0.3">
      <c r="A2" s="141" t="s">
        <v>203</v>
      </c>
      <c r="B2" s="148">
        <f>B4+B24+B40+B45+B54</f>
        <v>40000000</v>
      </c>
      <c r="C2" s="149">
        <f>D2/$B2*100</f>
        <v>7.4457002999999995</v>
      </c>
      <c r="D2" s="150">
        <f>D4+D24+D40+D45</f>
        <v>2978280.1199999996</v>
      </c>
      <c r="E2" s="149">
        <f>F2/$B$2*100</f>
        <v>17.674467199999999</v>
      </c>
      <c r="F2" s="150">
        <f>F4+F24+F40+F45</f>
        <v>7069786.8799999999</v>
      </c>
      <c r="G2" s="149">
        <f>H2/$B$2*100</f>
        <v>25.007525900000005</v>
      </c>
      <c r="H2" s="150">
        <f>H4+H24+H40+H45</f>
        <v>10003010.360000001</v>
      </c>
      <c r="I2" s="149">
        <f>J2/$B$2*100</f>
        <v>33.543932500000004</v>
      </c>
      <c r="J2" s="150">
        <f>J4+J24+J40+J45</f>
        <v>13417573.000000004</v>
      </c>
      <c r="K2" s="149">
        <f>L2/$B$2*100</f>
        <v>16.328374100000005</v>
      </c>
      <c r="L2" s="150">
        <f>L4+L24+L40+L45</f>
        <v>6531349.6400000015</v>
      </c>
      <c r="M2" s="388" t="s">
        <v>5</v>
      </c>
      <c r="N2" s="374" t="s">
        <v>312</v>
      </c>
      <c r="O2" s="375"/>
      <c r="P2" s="375"/>
      <c r="Q2" s="375"/>
      <c r="R2" s="375"/>
      <c r="S2" s="375"/>
      <c r="T2" s="375"/>
      <c r="U2" s="375"/>
      <c r="V2" s="375"/>
      <c r="W2" s="375"/>
      <c r="X2" s="375"/>
      <c r="Y2" s="375"/>
      <c r="Z2" s="375"/>
      <c r="AA2" s="375"/>
      <c r="AB2" s="375"/>
      <c r="AC2" s="375"/>
      <c r="AD2" s="375"/>
      <c r="AE2" s="375"/>
      <c r="AF2" s="375"/>
      <c r="AG2" s="376"/>
      <c r="AH2" s="75"/>
      <c r="AI2" s="75"/>
      <c r="AJ2" s="75"/>
      <c r="AK2" s="75"/>
      <c r="AL2" s="75"/>
      <c r="AM2" s="75"/>
    </row>
    <row r="3" spans="1:39" ht="14.45" customHeight="1" thickBot="1" x14ac:dyDescent="0.3">
      <c r="A3" s="382" t="str">
        <f>'1. Detailed Budget POA'!C5</f>
        <v>Component I. Strengthen the revenue administration</v>
      </c>
      <c r="B3" s="139" t="s">
        <v>66</v>
      </c>
      <c r="C3" s="76" t="s">
        <v>5</v>
      </c>
      <c r="D3" s="77" t="s">
        <v>67</v>
      </c>
      <c r="E3" s="77" t="s">
        <v>5</v>
      </c>
      <c r="F3" s="77" t="s">
        <v>68</v>
      </c>
      <c r="G3" s="77" t="s">
        <v>5</v>
      </c>
      <c r="H3" s="77" t="s">
        <v>69</v>
      </c>
      <c r="I3" s="77" t="s">
        <v>5</v>
      </c>
      <c r="J3" s="77" t="s">
        <v>70</v>
      </c>
      <c r="K3" s="77" t="s">
        <v>5</v>
      </c>
      <c r="L3" s="77" t="s">
        <v>71</v>
      </c>
      <c r="M3" s="373"/>
      <c r="N3" s="377" t="s">
        <v>67</v>
      </c>
      <c r="O3" s="378"/>
      <c r="P3" s="378"/>
      <c r="Q3" s="379"/>
      <c r="R3" s="377" t="s">
        <v>313</v>
      </c>
      <c r="S3" s="378"/>
      <c r="T3" s="378"/>
      <c r="U3" s="379"/>
      <c r="V3" s="377" t="s">
        <v>314</v>
      </c>
      <c r="W3" s="378"/>
      <c r="X3" s="378"/>
      <c r="Y3" s="379"/>
      <c r="Z3" s="377" t="s">
        <v>315</v>
      </c>
      <c r="AA3" s="378"/>
      <c r="AB3" s="378"/>
      <c r="AC3" s="379"/>
      <c r="AD3" s="377" t="s">
        <v>71</v>
      </c>
      <c r="AE3" s="378"/>
      <c r="AF3" s="378"/>
      <c r="AG3" s="379"/>
      <c r="AH3" s="75"/>
      <c r="AI3" s="75"/>
      <c r="AJ3" s="75"/>
      <c r="AK3" s="75"/>
      <c r="AL3" s="75"/>
      <c r="AM3" s="75"/>
    </row>
    <row r="4" spans="1:39" ht="15.75" thickBot="1" x14ac:dyDescent="0.3">
      <c r="A4" s="383"/>
      <c r="B4" s="140">
        <f>SUM(B5:B21)</f>
        <v>22579118.800000001</v>
      </c>
      <c r="C4" s="74">
        <f>D4/$B4*100</f>
        <v>8.4575894077850364</v>
      </c>
      <c r="D4" s="140">
        <f>SUM(D5:D21)</f>
        <v>1909649.16</v>
      </c>
      <c r="E4" s="74">
        <f>F4/$B4*100</f>
        <v>18.309752814622684</v>
      </c>
      <c r="F4" s="140">
        <f>SUM(F5:F21)</f>
        <v>4134180.84</v>
      </c>
      <c r="G4" s="74">
        <f>H4/$B4*100</f>
        <v>23.800841333099324</v>
      </c>
      <c r="H4" s="140">
        <f>SUM(H5:H21)</f>
        <v>5374020.2400000002</v>
      </c>
      <c r="I4" s="74">
        <f>J4/$B4*100</f>
        <v>37.517010096957378</v>
      </c>
      <c r="J4" s="140">
        <f>SUM(J5:J21)</f>
        <v>8471010.2800000012</v>
      </c>
      <c r="K4" s="74">
        <f>L4/$B4*100</f>
        <v>11.914806347535583</v>
      </c>
      <c r="L4" s="140">
        <f>SUM(L5:L21)</f>
        <v>2690258.2800000003</v>
      </c>
      <c r="M4" s="75">
        <f>C2+E2+G2+I2+K2</f>
        <v>100.00000000000001</v>
      </c>
      <c r="N4" s="359"/>
      <c r="O4" s="360"/>
      <c r="P4" s="360"/>
      <c r="Q4" s="361"/>
      <c r="R4" s="359"/>
      <c r="S4" s="360"/>
      <c r="T4" s="360"/>
      <c r="U4" s="361"/>
      <c r="V4" s="359"/>
      <c r="W4" s="360"/>
      <c r="X4" s="360"/>
      <c r="Y4" s="361"/>
      <c r="Z4" s="359"/>
      <c r="AA4" s="360"/>
      <c r="AB4" s="360"/>
      <c r="AC4" s="361"/>
      <c r="AD4" s="359"/>
      <c r="AE4" s="360"/>
      <c r="AF4" s="360"/>
      <c r="AG4" s="361"/>
      <c r="AH4" s="75"/>
      <c r="AI4" s="75"/>
      <c r="AJ4" s="75"/>
      <c r="AK4" s="75"/>
      <c r="AL4" s="75"/>
      <c r="AM4" s="75"/>
    </row>
    <row r="5" spans="1:39" ht="30.75" thickBot="1" x14ac:dyDescent="0.3">
      <c r="A5" s="142" t="str">
        <f>'1. Detailed Budget POA'!A7</f>
        <v xml:space="preserve">1.1  New Organizational Structure of the revenue administration prepared and implemented </v>
      </c>
      <c r="B5" s="249">
        <f>'[1]1. Detailed Budget POA'!B7</f>
        <v>489430.8</v>
      </c>
      <c r="C5" s="250">
        <v>10</v>
      </c>
      <c r="D5" s="251">
        <f>$B5*C5/100</f>
        <v>48943.08</v>
      </c>
      <c r="E5" s="250">
        <v>70</v>
      </c>
      <c r="F5" s="251">
        <f t="shared" ref="F5:F9" si="0">$B5*E5/100</f>
        <v>342601.56</v>
      </c>
      <c r="G5" s="250">
        <v>20</v>
      </c>
      <c r="H5" s="251">
        <f t="shared" ref="H5:H9" si="1">$B5*G5/100</f>
        <v>97886.16</v>
      </c>
      <c r="I5" s="250">
        <v>0</v>
      </c>
      <c r="J5" s="251">
        <f t="shared" ref="J5:J9" si="2">$B5*I5/100</f>
        <v>0</v>
      </c>
      <c r="K5" s="250">
        <v>0</v>
      </c>
      <c r="L5" s="251">
        <f t="shared" ref="L5:L9" si="3">$B5*K5/100</f>
        <v>0</v>
      </c>
      <c r="M5" s="75">
        <f>C5+E5+G5+I5+K5</f>
        <v>100</v>
      </c>
      <c r="N5" s="207"/>
      <c r="O5" s="208"/>
      <c r="P5" s="208"/>
      <c r="Q5" s="209">
        <v>111111</v>
      </c>
      <c r="R5" s="210"/>
      <c r="S5" s="210"/>
      <c r="T5" s="210"/>
      <c r="U5" s="210"/>
      <c r="V5" s="211"/>
      <c r="W5" s="208"/>
      <c r="X5" s="208"/>
      <c r="Y5" s="208"/>
      <c r="Z5" s="208"/>
      <c r="AA5" s="208"/>
      <c r="AB5" s="208"/>
      <c r="AC5" s="208"/>
      <c r="AD5" s="208"/>
      <c r="AE5" s="208"/>
      <c r="AF5" s="208"/>
      <c r="AG5" s="212"/>
      <c r="AH5" s="75"/>
      <c r="AI5" s="75"/>
      <c r="AJ5" s="75"/>
      <c r="AK5" s="75"/>
      <c r="AL5" s="75"/>
      <c r="AM5" s="75"/>
    </row>
    <row r="6" spans="1:39" ht="30" x14ac:dyDescent="0.25">
      <c r="A6" s="142" t="str">
        <f>'1. Detailed Budget POA'!A12</f>
        <v xml:space="preserve">1.2 Taxpayer service function and organization in the ORA created and staffed.  </v>
      </c>
      <c r="B6" s="249">
        <f>'[1]1. Detailed Budget POA'!B12</f>
        <v>591423.19999999995</v>
      </c>
      <c r="C6" s="250">
        <v>10</v>
      </c>
      <c r="D6" s="251">
        <f>$B6*C6/100</f>
        <v>59142.32</v>
      </c>
      <c r="E6" s="250">
        <v>70</v>
      </c>
      <c r="F6" s="251">
        <f t="shared" si="0"/>
        <v>413996.24</v>
      </c>
      <c r="G6" s="250">
        <v>20</v>
      </c>
      <c r="H6" s="251">
        <f t="shared" si="1"/>
        <v>118284.64</v>
      </c>
      <c r="I6" s="250">
        <v>0</v>
      </c>
      <c r="J6" s="251">
        <f t="shared" si="2"/>
        <v>0</v>
      </c>
      <c r="K6" s="250">
        <v>0</v>
      </c>
      <c r="L6" s="251">
        <f t="shared" si="3"/>
        <v>0</v>
      </c>
      <c r="M6" s="75">
        <f>C6+E6+G6+I6+K6</f>
        <v>100</v>
      </c>
      <c r="N6" s="207"/>
      <c r="O6" s="208"/>
      <c r="P6" s="208"/>
      <c r="Q6" s="213"/>
      <c r="R6" s="214"/>
      <c r="S6" s="214"/>
      <c r="T6" s="214"/>
      <c r="U6" s="214"/>
      <c r="V6" s="215"/>
      <c r="W6" s="208"/>
      <c r="X6" s="208"/>
      <c r="Y6" s="208"/>
      <c r="Z6" s="208"/>
      <c r="AA6" s="208"/>
      <c r="AB6" s="208"/>
      <c r="AC6" s="208"/>
      <c r="AD6" s="208"/>
      <c r="AE6" s="208"/>
      <c r="AF6" s="208"/>
      <c r="AG6" s="212"/>
      <c r="AH6" s="75"/>
      <c r="AI6" s="75"/>
      <c r="AJ6" s="75"/>
      <c r="AK6" s="75"/>
      <c r="AL6" s="75"/>
      <c r="AM6" s="75"/>
    </row>
    <row r="7" spans="1:39" ht="30.75" thickBot="1" x14ac:dyDescent="0.3">
      <c r="A7" s="142" t="str">
        <f>'1. Detailed Budget POA'!A16</f>
        <v>1.3 New effective Tax Identification Number (TIN) system for all taxpayers in Suriname designed and implemented</v>
      </c>
      <c r="B7" s="249">
        <f>'[1]1. Detailed Budget POA'!B16</f>
        <v>167480</v>
      </c>
      <c r="C7" s="250">
        <v>10</v>
      </c>
      <c r="D7" s="251">
        <f t="shared" ref="D7:L21" si="4">$B7*C7/100</f>
        <v>16748</v>
      </c>
      <c r="E7" s="250">
        <v>20</v>
      </c>
      <c r="F7" s="251">
        <f t="shared" si="0"/>
        <v>33496</v>
      </c>
      <c r="G7" s="250">
        <v>30</v>
      </c>
      <c r="H7" s="251">
        <f t="shared" si="1"/>
        <v>50244</v>
      </c>
      <c r="I7" s="250">
        <v>40</v>
      </c>
      <c r="J7" s="251">
        <f t="shared" si="2"/>
        <v>66992</v>
      </c>
      <c r="K7" s="250">
        <v>0</v>
      </c>
      <c r="L7" s="251">
        <f t="shared" si="3"/>
        <v>0</v>
      </c>
      <c r="M7" s="75">
        <f t="shared" ref="M7:M53" si="5">C7+E7+G7+I7+K7</f>
        <v>100</v>
      </c>
      <c r="N7" s="207"/>
      <c r="O7" s="208"/>
      <c r="P7" s="216"/>
      <c r="Q7" s="217"/>
      <c r="R7" s="218"/>
      <c r="S7" s="218"/>
      <c r="T7" s="218"/>
      <c r="U7" s="218"/>
      <c r="V7" s="218"/>
      <c r="W7" s="218"/>
      <c r="X7" s="218"/>
      <c r="Y7" s="218"/>
      <c r="Z7" s="219"/>
      <c r="AA7" s="220"/>
      <c r="AB7" s="208"/>
      <c r="AC7" s="208"/>
      <c r="AD7" s="208"/>
      <c r="AE7" s="208"/>
      <c r="AF7" s="208"/>
      <c r="AG7" s="212"/>
      <c r="AH7" s="75"/>
      <c r="AI7" s="75"/>
      <c r="AJ7" s="75"/>
      <c r="AK7" s="75"/>
      <c r="AL7" s="75"/>
      <c r="AM7" s="75"/>
    </row>
    <row r="8" spans="1:39" ht="30.75" thickBot="1" x14ac:dyDescent="0.3">
      <c r="A8" s="142" t="str">
        <f>'1. Detailed Budget POA'!A20</f>
        <v>1.4 Tax Return (Declaration) Processing system using modern procedures and methods designed and implemented.</v>
      </c>
      <c r="B8" s="249">
        <f>'[1]1. Detailed Budget POA'!B20</f>
        <v>510206.4</v>
      </c>
      <c r="C8" s="250">
        <v>0</v>
      </c>
      <c r="D8" s="251">
        <f t="shared" si="4"/>
        <v>0</v>
      </c>
      <c r="E8" s="250">
        <v>20</v>
      </c>
      <c r="F8" s="251">
        <f t="shared" si="0"/>
        <v>102041.28</v>
      </c>
      <c r="G8" s="250">
        <v>30</v>
      </c>
      <c r="H8" s="251">
        <f t="shared" si="1"/>
        <v>153061.92000000001</v>
      </c>
      <c r="I8" s="250">
        <v>40</v>
      </c>
      <c r="J8" s="251">
        <f t="shared" si="2"/>
        <v>204082.56</v>
      </c>
      <c r="K8" s="250">
        <v>10</v>
      </c>
      <c r="L8" s="251">
        <f t="shared" si="3"/>
        <v>51020.639999999999</v>
      </c>
      <c r="M8" s="75">
        <f t="shared" si="5"/>
        <v>100</v>
      </c>
      <c r="N8" s="207"/>
      <c r="O8" s="208"/>
      <c r="P8" s="208"/>
      <c r="Q8" s="208"/>
      <c r="R8" s="213"/>
      <c r="S8" s="214"/>
      <c r="T8" s="214"/>
      <c r="U8" s="214"/>
      <c r="V8" s="214"/>
      <c r="W8" s="214"/>
      <c r="X8" s="214"/>
      <c r="Y8" s="214"/>
      <c r="Z8" s="214"/>
      <c r="AA8" s="214"/>
      <c r="AB8" s="214"/>
      <c r="AC8" s="214"/>
      <c r="AD8" s="215"/>
      <c r="AE8" s="208"/>
      <c r="AF8" s="208"/>
      <c r="AG8" s="212"/>
      <c r="AH8" s="75"/>
      <c r="AI8" s="75"/>
      <c r="AJ8" s="75"/>
      <c r="AK8" s="75"/>
      <c r="AL8" s="75"/>
      <c r="AM8" s="75"/>
    </row>
    <row r="9" spans="1:39" ht="30.75" thickBot="1" x14ac:dyDescent="0.3">
      <c r="A9" s="142" t="str">
        <f>'1. Detailed Budget POA'!A24</f>
        <v>1.5 New Tax Payment Processing system through the banking network designed and implemented.</v>
      </c>
      <c r="B9" s="249">
        <f>'[1]1. Detailed Budget POA'!B24</f>
        <v>149897.59999999998</v>
      </c>
      <c r="C9" s="250">
        <v>15</v>
      </c>
      <c r="D9" s="251">
        <f t="shared" si="4"/>
        <v>22484.639999999996</v>
      </c>
      <c r="E9" s="250">
        <v>20</v>
      </c>
      <c r="F9" s="251">
        <f t="shared" si="0"/>
        <v>29979.519999999997</v>
      </c>
      <c r="G9" s="250">
        <v>30</v>
      </c>
      <c r="H9" s="251">
        <f t="shared" si="1"/>
        <v>44969.279999999992</v>
      </c>
      <c r="I9" s="250">
        <v>20</v>
      </c>
      <c r="J9" s="251">
        <f t="shared" si="2"/>
        <v>29979.519999999997</v>
      </c>
      <c r="K9" s="250">
        <v>15</v>
      </c>
      <c r="L9" s="251">
        <f t="shared" si="3"/>
        <v>22484.639999999996</v>
      </c>
      <c r="M9" s="75">
        <f t="shared" si="5"/>
        <v>100</v>
      </c>
      <c r="N9" s="207"/>
      <c r="O9" s="208"/>
      <c r="P9" s="208"/>
      <c r="Q9" s="208"/>
      <c r="R9" s="221"/>
      <c r="S9" s="222"/>
      <c r="T9" s="222"/>
      <c r="U9" s="222"/>
      <c r="V9" s="222"/>
      <c r="W9" s="222"/>
      <c r="X9" s="222"/>
      <c r="Y9" s="222"/>
      <c r="Z9" s="222"/>
      <c r="AA9" s="222"/>
      <c r="AB9" s="222"/>
      <c r="AC9" s="222"/>
      <c r="AD9" s="223"/>
      <c r="AE9" s="208"/>
      <c r="AF9" s="208"/>
      <c r="AG9" s="212"/>
      <c r="AH9" s="75"/>
      <c r="AI9" s="75"/>
      <c r="AJ9" s="75"/>
      <c r="AK9" s="75"/>
      <c r="AL9" s="75"/>
      <c r="AM9" s="75"/>
    </row>
    <row r="10" spans="1:39" ht="18" customHeight="1" thickBot="1" x14ac:dyDescent="0.3">
      <c r="A10" s="142" t="str">
        <f>'1. Detailed Budget POA'!A28</f>
        <v>1.6 Stop filing and refund processing procedures and system modernized.</v>
      </c>
      <c r="B10" s="249">
        <f>'[1]1. Detailed Budget POA'!B28</f>
        <v>79860</v>
      </c>
      <c r="C10" s="250">
        <v>15</v>
      </c>
      <c r="D10" s="251">
        <f t="shared" si="4"/>
        <v>11979</v>
      </c>
      <c r="E10" s="250">
        <v>20</v>
      </c>
      <c r="F10" s="251">
        <f t="shared" si="4"/>
        <v>15972</v>
      </c>
      <c r="G10" s="250">
        <v>30</v>
      </c>
      <c r="H10" s="251">
        <f t="shared" si="4"/>
        <v>23958</v>
      </c>
      <c r="I10" s="250">
        <v>20</v>
      </c>
      <c r="J10" s="251">
        <f t="shared" si="4"/>
        <v>15972</v>
      </c>
      <c r="K10" s="250">
        <v>15</v>
      </c>
      <c r="L10" s="251">
        <f t="shared" si="4"/>
        <v>11979</v>
      </c>
      <c r="M10" s="75">
        <f t="shared" si="5"/>
        <v>100</v>
      </c>
      <c r="N10" s="207"/>
      <c r="O10" s="208"/>
      <c r="P10" s="208"/>
      <c r="Q10" s="208"/>
      <c r="R10" s="213"/>
      <c r="S10" s="214"/>
      <c r="T10" s="214"/>
      <c r="U10" s="214"/>
      <c r="V10" s="214"/>
      <c r="W10" s="214"/>
      <c r="X10" s="214"/>
      <c r="Y10" s="214"/>
      <c r="Z10" s="214"/>
      <c r="AA10" s="222"/>
      <c r="AB10" s="222"/>
      <c r="AC10" s="222"/>
      <c r="AD10" s="223"/>
      <c r="AE10" s="208"/>
      <c r="AF10" s="208"/>
      <c r="AG10" s="212"/>
      <c r="AH10" s="75"/>
      <c r="AI10" s="75"/>
      <c r="AJ10" s="75"/>
      <c r="AK10" s="75"/>
      <c r="AL10" s="75"/>
      <c r="AM10" s="75"/>
    </row>
    <row r="11" spans="1:39" ht="15.75" thickBot="1" x14ac:dyDescent="0.3">
      <c r="A11" s="142" t="str">
        <f>'1. Detailed Budget POA'!A32</f>
        <v>1.7 Tax Audit procedures and system based on risk analysis implemented</v>
      </c>
      <c r="B11" s="249">
        <f>'[1]1. Detailed Budget POA'!B32</f>
        <v>170200.8</v>
      </c>
      <c r="C11" s="250">
        <v>15</v>
      </c>
      <c r="D11" s="251">
        <f t="shared" si="4"/>
        <v>25530.12</v>
      </c>
      <c r="E11" s="250">
        <v>30</v>
      </c>
      <c r="F11" s="251">
        <f t="shared" si="4"/>
        <v>51060.24</v>
      </c>
      <c r="G11" s="250">
        <v>30</v>
      </c>
      <c r="H11" s="251">
        <f t="shared" si="4"/>
        <v>51060.24</v>
      </c>
      <c r="I11" s="250">
        <v>25</v>
      </c>
      <c r="J11" s="251">
        <f t="shared" si="4"/>
        <v>42550.2</v>
      </c>
      <c r="K11" s="250">
        <v>0</v>
      </c>
      <c r="L11" s="251">
        <f t="shared" si="4"/>
        <v>0</v>
      </c>
      <c r="M11" s="75">
        <f t="shared" si="5"/>
        <v>100</v>
      </c>
      <c r="N11" s="207"/>
      <c r="O11" s="208"/>
      <c r="P11" s="221"/>
      <c r="Q11" s="222"/>
      <c r="R11" s="214"/>
      <c r="S11" s="214"/>
      <c r="T11" s="214"/>
      <c r="U11" s="214"/>
      <c r="V11" s="214"/>
      <c r="W11" s="214"/>
      <c r="X11" s="214"/>
      <c r="Y11" s="214"/>
      <c r="Z11" s="215"/>
      <c r="AA11" s="208"/>
      <c r="AB11" s="208"/>
      <c r="AC11" s="208"/>
      <c r="AD11" s="208"/>
      <c r="AE11" s="208"/>
      <c r="AF11" s="208"/>
      <c r="AG11" s="212"/>
      <c r="AH11" s="75"/>
      <c r="AI11" s="75"/>
      <c r="AJ11" s="75"/>
      <c r="AK11" s="75"/>
      <c r="AL11" s="75"/>
      <c r="AM11" s="75"/>
    </row>
    <row r="12" spans="1:39" ht="30.75" thickBot="1" x14ac:dyDescent="0.3">
      <c r="A12" s="142" t="str">
        <f>'1. Detailed Budget POA'!A36</f>
        <v>1.8 Tax arrears collections procedures and system reviewed and modernized.</v>
      </c>
      <c r="B12" s="249">
        <f>'[1]1. Detailed Budget POA'!B36</f>
        <v>75240</v>
      </c>
      <c r="C12" s="250">
        <v>15</v>
      </c>
      <c r="D12" s="251">
        <f t="shared" si="4"/>
        <v>11286</v>
      </c>
      <c r="E12" s="250">
        <v>20</v>
      </c>
      <c r="F12" s="251">
        <f t="shared" si="4"/>
        <v>15048</v>
      </c>
      <c r="G12" s="250">
        <v>50</v>
      </c>
      <c r="H12" s="251">
        <f t="shared" si="4"/>
        <v>37620</v>
      </c>
      <c r="I12" s="250">
        <v>15</v>
      </c>
      <c r="J12" s="251">
        <f t="shared" si="4"/>
        <v>11286</v>
      </c>
      <c r="K12" s="250">
        <v>0</v>
      </c>
      <c r="L12" s="251">
        <f t="shared" si="4"/>
        <v>0</v>
      </c>
      <c r="M12" s="75">
        <f t="shared" si="5"/>
        <v>100</v>
      </c>
      <c r="N12" s="207"/>
      <c r="O12" s="208"/>
      <c r="P12" s="208"/>
      <c r="Q12" s="208"/>
      <c r="R12" s="221"/>
      <c r="S12" s="222"/>
      <c r="T12" s="222"/>
      <c r="U12" s="222"/>
      <c r="V12" s="222"/>
      <c r="W12" s="222"/>
      <c r="X12" s="222"/>
      <c r="Y12" s="222"/>
      <c r="Z12" s="222"/>
      <c r="AA12" s="223"/>
      <c r="AB12" s="208"/>
      <c r="AC12" s="208"/>
      <c r="AD12" s="208"/>
      <c r="AE12" s="208"/>
      <c r="AF12" s="208"/>
      <c r="AG12" s="212"/>
      <c r="AH12" s="75"/>
      <c r="AI12" s="75"/>
      <c r="AJ12" s="75"/>
      <c r="AK12" s="75"/>
      <c r="AL12" s="75"/>
      <c r="AM12" s="75"/>
    </row>
    <row r="13" spans="1:39" ht="15.75" thickBot="1" x14ac:dyDescent="0.3">
      <c r="A13" s="142" t="str">
        <f>'1. Detailed Budget POA'!A40</f>
        <v xml:space="preserve">1.9 Tax appeal system and institutions reviewed and modernized. </v>
      </c>
      <c r="B13" s="249">
        <f>'[1]1. Detailed Budget POA'!B40</f>
        <v>135960</v>
      </c>
      <c r="C13" s="250">
        <v>15</v>
      </c>
      <c r="D13" s="251">
        <f t="shared" si="4"/>
        <v>20394</v>
      </c>
      <c r="E13" s="250">
        <v>20</v>
      </c>
      <c r="F13" s="251">
        <f t="shared" si="4"/>
        <v>27192</v>
      </c>
      <c r="G13" s="250">
        <v>50</v>
      </c>
      <c r="H13" s="251">
        <f t="shared" si="4"/>
        <v>67980</v>
      </c>
      <c r="I13" s="250">
        <v>15</v>
      </c>
      <c r="J13" s="251">
        <f t="shared" si="4"/>
        <v>20394</v>
      </c>
      <c r="K13" s="250">
        <v>0</v>
      </c>
      <c r="L13" s="251">
        <f t="shared" si="4"/>
        <v>0</v>
      </c>
      <c r="M13" s="75">
        <f t="shared" si="5"/>
        <v>100</v>
      </c>
      <c r="N13" s="207"/>
      <c r="O13" s="208"/>
      <c r="P13" s="208"/>
      <c r="Q13" s="208"/>
      <c r="R13" s="213"/>
      <c r="S13" s="214"/>
      <c r="T13" s="222"/>
      <c r="U13" s="222"/>
      <c r="V13" s="222"/>
      <c r="W13" s="222"/>
      <c r="X13" s="222"/>
      <c r="Y13" s="222"/>
      <c r="Z13" s="222"/>
      <c r="AA13" s="223"/>
      <c r="AB13" s="208"/>
      <c r="AC13" s="208"/>
      <c r="AD13" s="208"/>
      <c r="AE13" s="208"/>
      <c r="AF13" s="208"/>
      <c r="AG13" s="212"/>
      <c r="AH13" s="75"/>
      <c r="AI13" s="75"/>
      <c r="AJ13" s="75"/>
      <c r="AK13" s="75"/>
      <c r="AL13" s="75"/>
      <c r="AM13" s="75"/>
    </row>
    <row r="14" spans="1:39" ht="30.75" thickBot="1" x14ac:dyDescent="0.3">
      <c r="A14" s="142" t="str">
        <f>'1. Detailed Budget POA'!A45</f>
        <v>1.10 Plan for the improvement of Customs processes according to the WCO standards prepared and implemented.</v>
      </c>
      <c r="B14" s="249">
        <f>'[1]1. Detailed Budget POA'!B45</f>
        <v>272540</v>
      </c>
      <c r="C14" s="250">
        <v>20</v>
      </c>
      <c r="D14" s="251">
        <f t="shared" si="4"/>
        <v>54508</v>
      </c>
      <c r="E14" s="250">
        <v>80</v>
      </c>
      <c r="F14" s="251">
        <f t="shared" si="4"/>
        <v>218032</v>
      </c>
      <c r="G14" s="250">
        <v>0</v>
      </c>
      <c r="H14" s="251">
        <f t="shared" si="4"/>
        <v>0</v>
      </c>
      <c r="I14" s="250">
        <v>0</v>
      </c>
      <c r="J14" s="251">
        <f t="shared" si="4"/>
        <v>0</v>
      </c>
      <c r="K14" s="250">
        <v>0</v>
      </c>
      <c r="L14" s="251">
        <f t="shared" si="4"/>
        <v>0</v>
      </c>
      <c r="M14" s="75">
        <f t="shared" si="5"/>
        <v>100</v>
      </c>
      <c r="N14" s="207"/>
      <c r="O14" s="208"/>
      <c r="P14" s="208"/>
      <c r="Q14" s="221"/>
      <c r="R14" s="222"/>
      <c r="S14" s="215"/>
      <c r="T14" s="208"/>
      <c r="U14" s="208"/>
      <c r="V14" s="208"/>
      <c r="W14" s="208"/>
      <c r="X14" s="208"/>
      <c r="Y14" s="208"/>
      <c r="Z14" s="208"/>
      <c r="AA14" s="208"/>
      <c r="AB14" s="208"/>
      <c r="AC14" s="208"/>
      <c r="AD14" s="208"/>
      <c r="AE14" s="208"/>
      <c r="AF14" s="208"/>
      <c r="AG14" s="212"/>
      <c r="AH14" s="75"/>
      <c r="AI14" s="75"/>
      <c r="AJ14" s="75"/>
      <c r="AK14" s="75"/>
      <c r="AL14" s="75"/>
      <c r="AM14" s="75"/>
    </row>
    <row r="15" spans="1:39" ht="30.75" thickBot="1" x14ac:dyDescent="0.3">
      <c r="A15" s="142" t="str">
        <f>'1. Detailed Budget POA'!A50</f>
        <v>1.11 Tax audit model including tools risk based criteria reviewed and implemented.</v>
      </c>
      <c r="B15" s="249">
        <f>'[1]1. Detailed Budget POA'!B50</f>
        <v>3711900</v>
      </c>
      <c r="C15" s="250">
        <v>0</v>
      </c>
      <c r="D15" s="251">
        <f t="shared" si="4"/>
        <v>0</v>
      </c>
      <c r="E15" s="250">
        <v>20</v>
      </c>
      <c r="F15" s="251">
        <f t="shared" si="4"/>
        <v>742380</v>
      </c>
      <c r="G15" s="283">
        <v>20</v>
      </c>
      <c r="H15" s="251">
        <f t="shared" si="4"/>
        <v>742380</v>
      </c>
      <c r="I15" s="250">
        <v>50</v>
      </c>
      <c r="J15" s="251">
        <f t="shared" si="4"/>
        <v>1855950</v>
      </c>
      <c r="K15" s="250">
        <v>10</v>
      </c>
      <c r="L15" s="251">
        <f t="shared" si="4"/>
        <v>371190</v>
      </c>
      <c r="M15" s="75">
        <f t="shared" si="5"/>
        <v>100</v>
      </c>
      <c r="N15" s="207"/>
      <c r="O15" s="208"/>
      <c r="P15" s="208"/>
      <c r="Q15" s="208"/>
      <c r="R15" s="208"/>
      <c r="S15" s="221"/>
      <c r="T15" s="222"/>
      <c r="U15" s="222"/>
      <c r="V15" s="222"/>
      <c r="W15" s="222"/>
      <c r="X15" s="222"/>
      <c r="Y15" s="222"/>
      <c r="Z15" s="222"/>
      <c r="AA15" s="222"/>
      <c r="AB15" s="222"/>
      <c r="AC15" s="222"/>
      <c r="AD15" s="223"/>
      <c r="AE15" s="224"/>
      <c r="AF15" s="224"/>
      <c r="AG15" s="212"/>
      <c r="AH15" s="75"/>
      <c r="AI15" s="75"/>
      <c r="AJ15" s="75"/>
      <c r="AK15" s="75"/>
      <c r="AL15" s="75"/>
      <c r="AM15" s="75"/>
    </row>
    <row r="16" spans="1:39" ht="30.75" thickBot="1" x14ac:dyDescent="0.3">
      <c r="A16" s="142" t="str">
        <f>'1. Detailed Budget POA'!A54</f>
        <v>1.12 Post Clearance Audit (PCA) model including risk management concepts developed and implemented in Asycuda World System (AWS).</v>
      </c>
      <c r="B16" s="249">
        <f>'[1]1. Detailed Budget POA'!B54</f>
        <v>165000</v>
      </c>
      <c r="C16" s="250">
        <v>0</v>
      </c>
      <c r="D16" s="251">
        <f t="shared" si="4"/>
        <v>0</v>
      </c>
      <c r="E16" s="250">
        <v>60</v>
      </c>
      <c r="F16" s="251">
        <f t="shared" si="4"/>
        <v>99000</v>
      </c>
      <c r="G16" s="250">
        <v>40</v>
      </c>
      <c r="H16" s="251">
        <f t="shared" si="4"/>
        <v>66000</v>
      </c>
      <c r="I16" s="250">
        <v>0</v>
      </c>
      <c r="J16" s="251">
        <f t="shared" si="4"/>
        <v>0</v>
      </c>
      <c r="K16" s="250">
        <v>0</v>
      </c>
      <c r="L16" s="251">
        <f t="shared" si="4"/>
        <v>0</v>
      </c>
      <c r="M16" s="75">
        <f t="shared" si="5"/>
        <v>100</v>
      </c>
      <c r="N16" s="207"/>
      <c r="O16" s="208"/>
      <c r="P16" s="208"/>
      <c r="Q16" s="208"/>
      <c r="R16" s="208"/>
      <c r="S16" s="213"/>
      <c r="T16" s="222"/>
      <c r="U16" s="222"/>
      <c r="V16" s="222"/>
      <c r="W16" s="222"/>
      <c r="X16" s="223"/>
      <c r="Y16" s="208"/>
      <c r="Z16" s="208"/>
      <c r="AA16" s="208"/>
      <c r="AB16" s="208"/>
      <c r="AC16" s="208"/>
      <c r="AD16" s="208"/>
      <c r="AE16" s="208"/>
      <c r="AF16" s="208"/>
      <c r="AG16" s="212"/>
      <c r="AH16" s="75"/>
      <c r="AI16" s="75"/>
      <c r="AJ16" s="75"/>
      <c r="AK16" s="75"/>
      <c r="AL16" s="75"/>
      <c r="AM16" s="75"/>
    </row>
    <row r="17" spans="1:39" ht="30.75" thickBot="1" x14ac:dyDescent="0.3">
      <c r="A17" s="142" t="str">
        <f>'1. Detailed Budget POA'!A57</f>
        <v xml:space="preserve">1.13 New procedures for the adoption of the VAT developed and implemented. </v>
      </c>
      <c r="B17" s="249">
        <f>'[1]1. Detailed Budget POA'!B57</f>
        <v>490600</v>
      </c>
      <c r="C17" s="250">
        <v>20</v>
      </c>
      <c r="D17" s="251">
        <f t="shared" si="4"/>
        <v>98120</v>
      </c>
      <c r="E17" s="250">
        <v>80</v>
      </c>
      <c r="F17" s="251">
        <f t="shared" si="4"/>
        <v>392480</v>
      </c>
      <c r="G17" s="250">
        <v>0</v>
      </c>
      <c r="H17" s="251">
        <f t="shared" si="4"/>
        <v>0</v>
      </c>
      <c r="I17" s="250">
        <v>0</v>
      </c>
      <c r="J17" s="251">
        <f t="shared" si="4"/>
        <v>0</v>
      </c>
      <c r="K17" s="250">
        <v>0</v>
      </c>
      <c r="L17" s="251">
        <f t="shared" si="4"/>
        <v>0</v>
      </c>
      <c r="M17" s="75">
        <f t="shared" si="5"/>
        <v>100</v>
      </c>
      <c r="N17" s="207"/>
      <c r="O17" s="208"/>
      <c r="P17" s="208"/>
      <c r="Q17" s="225"/>
      <c r="R17" s="218"/>
      <c r="S17" s="226"/>
      <c r="T17" s="208"/>
      <c r="U17" s="208"/>
      <c r="V17" s="208"/>
      <c r="W17" s="208"/>
      <c r="X17" s="208"/>
      <c r="Y17" s="208"/>
      <c r="Z17" s="208"/>
      <c r="AA17" s="208"/>
      <c r="AB17" s="208"/>
      <c r="AC17" s="208"/>
      <c r="AD17" s="208"/>
      <c r="AE17" s="208"/>
      <c r="AF17" s="208"/>
      <c r="AG17" s="212"/>
      <c r="AH17" s="75"/>
      <c r="AI17" s="75"/>
      <c r="AJ17" s="75"/>
      <c r="AK17" s="75"/>
      <c r="AL17" s="75"/>
      <c r="AM17" s="75"/>
    </row>
    <row r="18" spans="1:39" ht="15.75" thickBot="1" x14ac:dyDescent="0.3">
      <c r="A18" s="142" t="str">
        <f>'1. Detailed Budget POA'!A62</f>
        <v xml:space="preserve">1.14 Plan for the modernization of the Customs ICT implemented. </v>
      </c>
      <c r="B18" s="249">
        <f>'[1]1. Detailed Budget POA'!B62</f>
        <v>7298660</v>
      </c>
      <c r="C18" s="250">
        <v>10</v>
      </c>
      <c r="D18" s="251">
        <f t="shared" si="4"/>
        <v>729866</v>
      </c>
      <c r="E18" s="250">
        <v>10</v>
      </c>
      <c r="F18" s="251">
        <f t="shared" si="4"/>
        <v>729866</v>
      </c>
      <c r="G18" s="250">
        <v>20</v>
      </c>
      <c r="H18" s="251">
        <f t="shared" si="4"/>
        <v>1459732</v>
      </c>
      <c r="I18" s="250">
        <v>40</v>
      </c>
      <c r="J18" s="251">
        <f t="shared" si="4"/>
        <v>2919464</v>
      </c>
      <c r="K18" s="250">
        <v>20</v>
      </c>
      <c r="L18" s="251">
        <f t="shared" si="4"/>
        <v>1459732</v>
      </c>
      <c r="M18" s="75">
        <f t="shared" si="5"/>
        <v>100</v>
      </c>
      <c r="N18" s="207"/>
      <c r="O18" s="208"/>
      <c r="P18" s="208"/>
      <c r="Q18" s="221"/>
      <c r="R18" s="222"/>
      <c r="S18" s="222"/>
      <c r="T18" s="222"/>
      <c r="U18" s="222"/>
      <c r="V18" s="222"/>
      <c r="W18" s="222"/>
      <c r="X18" s="222"/>
      <c r="Y18" s="222"/>
      <c r="Z18" s="222"/>
      <c r="AA18" s="222"/>
      <c r="AB18" s="222"/>
      <c r="AC18" s="222"/>
      <c r="AD18" s="222"/>
      <c r="AE18" s="223"/>
      <c r="AF18" s="208"/>
      <c r="AG18" s="212"/>
      <c r="AH18" s="75"/>
      <c r="AI18" s="75"/>
      <c r="AJ18" s="75"/>
      <c r="AK18" s="75"/>
      <c r="AL18" s="75"/>
      <c r="AM18" s="75"/>
    </row>
    <row r="19" spans="1:39" ht="30.75" thickBot="1" x14ac:dyDescent="0.3">
      <c r="A19" s="142" t="str">
        <f>'1. Detailed Budget POA'!A70</f>
        <v>1.15 Operational support for ASYCUDA world Customs system implementation</v>
      </c>
      <c r="B19" s="249">
        <f>'[1]1. Detailed Budget POA'!B70</f>
        <v>183980</v>
      </c>
      <c r="C19" s="250">
        <v>20</v>
      </c>
      <c r="D19" s="251">
        <f t="shared" si="4"/>
        <v>36796</v>
      </c>
      <c r="E19" s="250">
        <v>80</v>
      </c>
      <c r="F19" s="251">
        <f t="shared" si="4"/>
        <v>147184</v>
      </c>
      <c r="G19" s="250">
        <v>0</v>
      </c>
      <c r="H19" s="251">
        <f t="shared" si="4"/>
        <v>0</v>
      </c>
      <c r="I19" s="250">
        <v>0</v>
      </c>
      <c r="J19" s="251">
        <f t="shared" si="4"/>
        <v>0</v>
      </c>
      <c r="K19" s="250">
        <v>0</v>
      </c>
      <c r="L19" s="251">
        <f t="shared" si="4"/>
        <v>0</v>
      </c>
      <c r="M19" s="75">
        <f t="shared" si="5"/>
        <v>100</v>
      </c>
      <c r="N19" s="207"/>
      <c r="O19" s="208"/>
      <c r="P19" s="208"/>
      <c r="Q19" s="227"/>
      <c r="R19" s="228"/>
      <c r="S19" s="229"/>
      <c r="T19" s="230"/>
      <c r="U19" s="208"/>
      <c r="V19" s="208"/>
      <c r="W19" s="208"/>
      <c r="X19" s="208"/>
      <c r="Y19" s="208"/>
      <c r="Z19" s="208"/>
      <c r="AA19" s="208"/>
      <c r="AB19" s="208"/>
      <c r="AC19" s="208"/>
      <c r="AD19" s="208"/>
      <c r="AE19" s="208"/>
      <c r="AF19" s="208"/>
      <c r="AG19" s="212"/>
      <c r="AH19" s="75"/>
      <c r="AI19" s="75"/>
      <c r="AJ19" s="75"/>
      <c r="AK19" s="75"/>
      <c r="AL19" s="75"/>
      <c r="AM19" s="75"/>
    </row>
    <row r="20" spans="1:39" ht="30.75" thickBot="1" x14ac:dyDescent="0.3">
      <c r="A20" s="143" t="str">
        <f>'1. Detailed Budget POA'!A74</f>
        <v>1.16 Plan for the modernization of the ORA physical infrastructure implemented.</v>
      </c>
      <c r="B20" s="249">
        <f>'[1]1. Detailed Budget POA'!B74</f>
        <v>7738520</v>
      </c>
      <c r="C20" s="250">
        <v>10</v>
      </c>
      <c r="D20" s="251">
        <f t="shared" si="4"/>
        <v>773852</v>
      </c>
      <c r="E20" s="250">
        <v>10</v>
      </c>
      <c r="F20" s="251">
        <f t="shared" si="4"/>
        <v>773852</v>
      </c>
      <c r="G20" s="250">
        <v>30</v>
      </c>
      <c r="H20" s="251">
        <f t="shared" si="4"/>
        <v>2321556</v>
      </c>
      <c r="I20" s="250">
        <v>40</v>
      </c>
      <c r="J20" s="251">
        <f t="shared" si="4"/>
        <v>3095408</v>
      </c>
      <c r="K20" s="250">
        <v>10</v>
      </c>
      <c r="L20" s="251">
        <f t="shared" si="4"/>
        <v>773852</v>
      </c>
      <c r="M20" s="75">
        <f t="shared" si="5"/>
        <v>100</v>
      </c>
      <c r="N20" s="207"/>
      <c r="O20" s="208"/>
      <c r="P20" s="208"/>
      <c r="Q20" s="221"/>
      <c r="R20" s="222"/>
      <c r="S20" s="222"/>
      <c r="T20" s="222"/>
      <c r="U20" s="222"/>
      <c r="V20" s="222"/>
      <c r="W20" s="222"/>
      <c r="X20" s="222"/>
      <c r="Y20" s="222"/>
      <c r="Z20" s="222"/>
      <c r="AA20" s="222"/>
      <c r="AB20" s="222"/>
      <c r="AC20" s="222"/>
      <c r="AD20" s="222"/>
      <c r="AE20" s="223"/>
      <c r="AF20" s="208"/>
      <c r="AG20" s="212"/>
      <c r="AH20" s="75"/>
      <c r="AI20" s="75"/>
      <c r="AJ20" s="75"/>
      <c r="AK20" s="75"/>
      <c r="AL20" s="75"/>
      <c r="AM20" s="75"/>
    </row>
    <row r="21" spans="1:39" ht="18" customHeight="1" thickBot="1" x14ac:dyDescent="0.3">
      <c r="A21" s="234" t="str">
        <f>'1. Detailed Budget POA'!A84</f>
        <v xml:space="preserve">1.17 Tax legal Framework reviewed and updated, 
</v>
      </c>
      <c r="B21" s="235">
        <f>'[1]1. Detailed Budget POA'!B84</f>
        <v>348220</v>
      </c>
      <c r="C21" s="236">
        <v>0</v>
      </c>
      <c r="D21" s="237">
        <f t="shared" si="4"/>
        <v>0</v>
      </c>
      <c r="E21" s="236">
        <v>0</v>
      </c>
      <c r="F21" s="237">
        <f t="shared" si="4"/>
        <v>0</v>
      </c>
      <c r="G21" s="236">
        <v>40</v>
      </c>
      <c r="H21" s="237">
        <f t="shared" si="4"/>
        <v>139288</v>
      </c>
      <c r="I21" s="236">
        <v>60</v>
      </c>
      <c r="J21" s="237">
        <f t="shared" si="4"/>
        <v>208932</v>
      </c>
      <c r="K21" s="236">
        <v>0</v>
      </c>
      <c r="L21" s="237">
        <f t="shared" si="4"/>
        <v>0</v>
      </c>
      <c r="M21" s="75">
        <f t="shared" si="5"/>
        <v>100</v>
      </c>
      <c r="N21" s="207"/>
      <c r="O21" s="208"/>
      <c r="P21" s="208"/>
      <c r="Q21" s="208"/>
      <c r="R21" s="208"/>
      <c r="S21" s="208"/>
      <c r="T21" s="208"/>
      <c r="U21" s="208"/>
      <c r="V21" s="238"/>
      <c r="W21" s="231"/>
      <c r="X21" s="231"/>
      <c r="Y21" s="231"/>
      <c r="Z21" s="239"/>
      <c r="AA21" s="208"/>
      <c r="AB21" s="208"/>
      <c r="AC21" s="208"/>
      <c r="AD21" s="208"/>
      <c r="AE21" s="208"/>
      <c r="AF21" s="208"/>
      <c r="AG21" s="212"/>
      <c r="AH21" s="75"/>
      <c r="AI21" s="75"/>
      <c r="AJ21" s="75"/>
      <c r="AK21" s="75"/>
      <c r="AL21" s="75"/>
      <c r="AM21" s="75"/>
    </row>
    <row r="22" spans="1:39" ht="16.5" thickBot="1" x14ac:dyDescent="0.3">
      <c r="A22" s="368">
        <f>C22+E22+G22+I22+K22</f>
        <v>0</v>
      </c>
      <c r="B22" s="369"/>
      <c r="C22" s="369"/>
      <c r="D22" s="369"/>
      <c r="E22" s="369"/>
      <c r="F22" s="369"/>
      <c r="G22" s="369"/>
      <c r="H22" s="369"/>
      <c r="I22" s="369"/>
      <c r="J22" s="369"/>
      <c r="K22" s="369"/>
      <c r="L22" s="369"/>
      <c r="M22" s="369"/>
      <c r="N22" s="369"/>
      <c r="O22" s="369"/>
      <c r="P22" s="369"/>
      <c r="Q22" s="369"/>
      <c r="R22" s="369"/>
      <c r="S22" s="369"/>
      <c r="T22" s="369"/>
      <c r="U22" s="369"/>
      <c r="V22" s="369"/>
      <c r="W22" s="369"/>
      <c r="X22" s="369"/>
      <c r="Y22" s="369"/>
      <c r="Z22" s="369"/>
      <c r="AA22" s="369"/>
      <c r="AB22" s="369"/>
      <c r="AC22" s="369"/>
      <c r="AD22" s="369"/>
      <c r="AE22" s="369"/>
      <c r="AF22" s="369"/>
      <c r="AG22" s="370"/>
      <c r="AH22" s="75"/>
      <c r="AI22" s="75"/>
      <c r="AJ22" s="75"/>
      <c r="AK22" s="75"/>
      <c r="AL22" s="75"/>
      <c r="AM22" s="75"/>
    </row>
    <row r="23" spans="1:39" ht="14.45" customHeight="1" x14ac:dyDescent="0.25">
      <c r="A23" s="380" t="str">
        <f>'1. Detailed Budget POA'!C89</f>
        <v>Component II. Strengthen the PFM</v>
      </c>
      <c r="B23" s="240" t="s">
        <v>66</v>
      </c>
      <c r="C23" s="241" t="s">
        <v>5</v>
      </c>
      <c r="D23" s="242" t="s">
        <v>67</v>
      </c>
      <c r="E23" s="242" t="s">
        <v>5</v>
      </c>
      <c r="F23" s="242" t="s">
        <v>68</v>
      </c>
      <c r="G23" s="242" t="s">
        <v>5</v>
      </c>
      <c r="H23" s="242" t="s">
        <v>69</v>
      </c>
      <c r="I23" s="242" t="s">
        <v>5</v>
      </c>
      <c r="J23" s="242" t="s">
        <v>70</v>
      </c>
      <c r="K23" s="242" t="s">
        <v>5</v>
      </c>
      <c r="L23" s="242" t="s">
        <v>71</v>
      </c>
      <c r="M23" s="372" t="s">
        <v>5</v>
      </c>
      <c r="N23" s="356" t="s">
        <v>67</v>
      </c>
      <c r="O23" s="357"/>
      <c r="P23" s="357"/>
      <c r="Q23" s="358"/>
      <c r="R23" s="356" t="s">
        <v>313</v>
      </c>
      <c r="S23" s="357"/>
      <c r="T23" s="357"/>
      <c r="U23" s="358"/>
      <c r="V23" s="356" t="s">
        <v>314</v>
      </c>
      <c r="W23" s="357"/>
      <c r="X23" s="357"/>
      <c r="Y23" s="358"/>
      <c r="Z23" s="356" t="s">
        <v>315</v>
      </c>
      <c r="AA23" s="357"/>
      <c r="AB23" s="357"/>
      <c r="AC23" s="358"/>
      <c r="AD23" s="356" t="s">
        <v>71</v>
      </c>
      <c r="AE23" s="357"/>
      <c r="AF23" s="357"/>
      <c r="AG23" s="358"/>
      <c r="AH23" s="75"/>
      <c r="AI23" s="75"/>
      <c r="AJ23" s="75"/>
      <c r="AK23" s="75"/>
      <c r="AL23" s="75"/>
      <c r="AM23" s="75"/>
    </row>
    <row r="24" spans="1:39" ht="15.4" customHeight="1" thickBot="1" x14ac:dyDescent="0.3">
      <c r="A24" s="381"/>
      <c r="B24" s="84">
        <f>SUM(B25:B37)</f>
        <v>10250201.6</v>
      </c>
      <c r="C24" s="74">
        <f>D24/$B24*100</f>
        <v>5.8945002603656116</v>
      </c>
      <c r="D24" s="84">
        <f>SUM(D25:D37)</f>
        <v>604198.16</v>
      </c>
      <c r="E24" s="74">
        <f>F24/$B24*100</f>
        <v>22.868362315917771</v>
      </c>
      <c r="F24" s="84">
        <f>SUM(F25:F37)</f>
        <v>2344053.2400000002</v>
      </c>
      <c r="G24" s="74">
        <f>H24/$B24*100</f>
        <v>34.314873572828077</v>
      </c>
      <c r="H24" s="84">
        <f>SUM(H25:H37)</f>
        <v>3517343.72</v>
      </c>
      <c r="I24" s="74">
        <f>J24/$B24*100</f>
        <v>25.75979071475043</v>
      </c>
      <c r="J24" s="84">
        <f>SUM(J25:J37)</f>
        <v>2640430.48</v>
      </c>
      <c r="K24" s="74">
        <f>L24/$B24*100</f>
        <v>11.162473136138122</v>
      </c>
      <c r="L24" s="84">
        <f>SUM(L25:L37)</f>
        <v>1144176</v>
      </c>
      <c r="M24" s="373"/>
      <c r="N24" s="359"/>
      <c r="O24" s="360"/>
      <c r="P24" s="360"/>
      <c r="Q24" s="361"/>
      <c r="R24" s="359"/>
      <c r="S24" s="360"/>
      <c r="T24" s="360"/>
      <c r="U24" s="361"/>
      <c r="V24" s="359"/>
      <c r="W24" s="360"/>
      <c r="X24" s="360"/>
      <c r="Y24" s="361"/>
      <c r="Z24" s="359"/>
      <c r="AA24" s="360"/>
      <c r="AB24" s="360"/>
      <c r="AC24" s="361"/>
      <c r="AD24" s="359"/>
      <c r="AE24" s="360"/>
      <c r="AF24" s="360"/>
      <c r="AG24" s="361"/>
      <c r="AH24" s="75"/>
      <c r="AI24" s="75"/>
      <c r="AJ24" s="75"/>
      <c r="AK24" s="75"/>
      <c r="AL24" s="75"/>
      <c r="AM24" s="75"/>
    </row>
    <row r="25" spans="1:39" ht="32.25" customHeight="1" thickBot="1" x14ac:dyDescent="0.3">
      <c r="A25" s="144" t="str">
        <f>'1. Detailed Budget POA'!A98</f>
        <v xml:space="preserve">2.1  New Organizational Structure of the Ministry of Finance (MOF) developed and implemented
</v>
      </c>
      <c r="B25" s="252">
        <f>'[1]1. Detailed Budget POA'!B98</f>
        <v>597000</v>
      </c>
      <c r="C25" s="250">
        <v>10</v>
      </c>
      <c r="D25" s="253">
        <f>$B25*C25/100</f>
        <v>59700</v>
      </c>
      <c r="E25" s="250">
        <v>70</v>
      </c>
      <c r="F25" s="253">
        <f t="shared" ref="F25:L28" si="6">$B25*E25/100</f>
        <v>417900</v>
      </c>
      <c r="G25" s="250">
        <v>20</v>
      </c>
      <c r="H25" s="253">
        <f t="shared" si="6"/>
        <v>119400</v>
      </c>
      <c r="I25" s="250">
        <v>0</v>
      </c>
      <c r="J25" s="253">
        <f t="shared" si="6"/>
        <v>0</v>
      </c>
      <c r="K25" s="250">
        <v>0</v>
      </c>
      <c r="L25" s="253">
        <f t="shared" si="6"/>
        <v>0</v>
      </c>
      <c r="M25" s="75">
        <f t="shared" si="5"/>
        <v>100</v>
      </c>
      <c r="N25" s="207"/>
      <c r="O25" s="208"/>
      <c r="P25" s="208"/>
      <c r="Q25" s="221"/>
      <c r="R25" s="222"/>
      <c r="S25" s="222"/>
      <c r="T25" s="222"/>
      <c r="U25" s="222"/>
      <c r="V25" s="223"/>
      <c r="W25" s="208"/>
      <c r="X25" s="208"/>
      <c r="Y25" s="208"/>
      <c r="Z25" s="208"/>
      <c r="AA25" s="208"/>
      <c r="AB25" s="208"/>
      <c r="AC25" s="208"/>
      <c r="AD25" s="208"/>
      <c r="AE25" s="208"/>
      <c r="AF25" s="208"/>
      <c r="AG25" s="212"/>
      <c r="AH25" s="75"/>
      <c r="AI25" s="75"/>
      <c r="AJ25" s="75"/>
      <c r="AK25" s="75"/>
      <c r="AL25" s="75"/>
      <c r="AM25" s="75"/>
    </row>
    <row r="26" spans="1:39" ht="32.25" customHeight="1" thickBot="1" x14ac:dyDescent="0.3">
      <c r="A26" s="144" t="str">
        <f>'1. Detailed Budget POA'!A102</f>
        <v>2.2 Macroeconomic analysis, for fiscal and public policy function of the MoF modernized</v>
      </c>
      <c r="B26" s="252">
        <f>'[1]1. Detailed Budget POA'!B102</f>
        <v>396000</v>
      </c>
      <c r="C26" s="250">
        <v>20</v>
      </c>
      <c r="D26" s="253">
        <f>$B26*C26/100</f>
        <v>79200</v>
      </c>
      <c r="E26" s="250">
        <v>80</v>
      </c>
      <c r="F26" s="253">
        <f t="shared" si="6"/>
        <v>316800</v>
      </c>
      <c r="G26" s="250">
        <v>0</v>
      </c>
      <c r="H26" s="253">
        <f t="shared" si="6"/>
        <v>0</v>
      </c>
      <c r="I26" s="250">
        <v>0</v>
      </c>
      <c r="J26" s="253">
        <f t="shared" si="6"/>
        <v>0</v>
      </c>
      <c r="K26" s="250">
        <v>0</v>
      </c>
      <c r="L26" s="253">
        <f t="shared" si="6"/>
        <v>0</v>
      </c>
      <c r="M26" s="75">
        <f t="shared" si="5"/>
        <v>100</v>
      </c>
      <c r="N26" s="207"/>
      <c r="O26" s="208"/>
      <c r="P26" s="208"/>
      <c r="Q26" s="213"/>
      <c r="R26" s="214"/>
      <c r="S26" s="214"/>
      <c r="T26" s="214"/>
      <c r="U26" s="215"/>
      <c r="V26" s="208"/>
      <c r="W26" s="208"/>
      <c r="X26" s="208"/>
      <c r="Y26" s="208"/>
      <c r="Z26" s="208"/>
      <c r="AA26" s="208"/>
      <c r="AB26" s="208"/>
      <c r="AC26" s="208"/>
      <c r="AD26" s="208"/>
      <c r="AE26" s="208"/>
      <c r="AF26" s="208"/>
      <c r="AG26" s="212"/>
      <c r="AH26" s="75"/>
      <c r="AI26" s="75"/>
      <c r="AJ26" s="75"/>
      <c r="AK26" s="75"/>
      <c r="AL26" s="75"/>
      <c r="AM26" s="75"/>
    </row>
    <row r="27" spans="1:39" ht="21" customHeight="1" thickBot="1" x14ac:dyDescent="0.3">
      <c r="A27" s="144" t="str">
        <f>'1. Detailed Budget POA'!A109</f>
        <v xml:space="preserve">2.3 Budget Planning business model reviewed and improved
</v>
      </c>
      <c r="B27" s="252">
        <f>'[1]1. Detailed Budget POA'!B109</f>
        <v>1026000</v>
      </c>
      <c r="C27" s="250">
        <v>20</v>
      </c>
      <c r="D27" s="253">
        <f>$B27*C27/100</f>
        <v>205200</v>
      </c>
      <c r="E27" s="250">
        <v>20</v>
      </c>
      <c r="F27" s="253">
        <f t="shared" si="6"/>
        <v>205200</v>
      </c>
      <c r="G27" s="250">
        <v>30</v>
      </c>
      <c r="H27" s="253">
        <f t="shared" si="6"/>
        <v>307800</v>
      </c>
      <c r="I27" s="250">
        <v>30</v>
      </c>
      <c r="J27" s="253">
        <f t="shared" si="6"/>
        <v>307800</v>
      </c>
      <c r="K27" s="250">
        <v>0</v>
      </c>
      <c r="L27" s="253">
        <f t="shared" si="6"/>
        <v>0</v>
      </c>
      <c r="M27" s="75">
        <f t="shared" si="5"/>
        <v>100</v>
      </c>
      <c r="N27" s="207"/>
      <c r="O27" s="208"/>
      <c r="P27" s="221"/>
      <c r="Q27" s="214"/>
      <c r="R27" s="214"/>
      <c r="S27" s="214"/>
      <c r="T27" s="214"/>
      <c r="U27" s="214"/>
      <c r="V27" s="214"/>
      <c r="W27" s="214"/>
      <c r="X27" s="214"/>
      <c r="Y27" s="214"/>
      <c r="Z27" s="215"/>
      <c r="AA27" s="208"/>
      <c r="AB27" s="208"/>
      <c r="AC27" s="208"/>
      <c r="AD27" s="208"/>
      <c r="AE27" s="208"/>
      <c r="AF27" s="208"/>
      <c r="AG27" s="212"/>
      <c r="AH27" s="75"/>
      <c r="AI27" s="75"/>
      <c r="AJ27" s="75"/>
      <c r="AK27" s="75"/>
      <c r="AL27" s="75"/>
      <c r="AM27" s="75"/>
    </row>
    <row r="28" spans="1:39" ht="18.95" customHeight="1" thickBot="1" x14ac:dyDescent="0.3">
      <c r="A28" s="144" t="str">
        <f>'1. Detailed Budget POA'!A121</f>
        <v xml:space="preserve">2.4 Treasury Operations developed and implemented
</v>
      </c>
      <c r="B28" s="252">
        <f>'[1]1. Detailed Budget POA'!B121</f>
        <v>1137520</v>
      </c>
      <c r="C28" s="250">
        <v>10</v>
      </c>
      <c r="D28" s="253">
        <f t="shared" ref="D28:L36" si="7">$B28*C28/100</f>
        <v>113752</v>
      </c>
      <c r="E28" s="250">
        <v>15</v>
      </c>
      <c r="F28" s="253">
        <f t="shared" si="6"/>
        <v>170628</v>
      </c>
      <c r="G28" s="250">
        <v>35</v>
      </c>
      <c r="H28" s="253">
        <f t="shared" si="6"/>
        <v>398132</v>
      </c>
      <c r="I28" s="250">
        <v>40</v>
      </c>
      <c r="J28" s="253">
        <f t="shared" si="6"/>
        <v>455008</v>
      </c>
      <c r="K28" s="250">
        <v>0</v>
      </c>
      <c r="L28" s="253">
        <f t="shared" si="6"/>
        <v>0</v>
      </c>
      <c r="M28" s="75">
        <f t="shared" si="5"/>
        <v>100</v>
      </c>
      <c r="N28" s="207"/>
      <c r="O28" s="208"/>
      <c r="P28" s="208"/>
      <c r="Q28" s="221"/>
      <c r="R28" s="222"/>
      <c r="S28" s="222"/>
      <c r="T28" s="222"/>
      <c r="U28" s="222"/>
      <c r="V28" s="222"/>
      <c r="W28" s="222"/>
      <c r="X28" s="222"/>
      <c r="Y28" s="222"/>
      <c r="Z28" s="222"/>
      <c r="AA28" s="223"/>
      <c r="AB28" s="208"/>
      <c r="AC28" s="208"/>
      <c r="AD28" s="208"/>
      <c r="AE28" s="208"/>
      <c r="AF28" s="208"/>
      <c r="AG28" s="212"/>
      <c r="AH28" s="75"/>
      <c r="AI28" s="75"/>
      <c r="AJ28" s="75"/>
      <c r="AK28" s="75"/>
      <c r="AL28" s="75"/>
      <c r="AM28" s="75"/>
    </row>
    <row r="29" spans="1:39" ht="18" customHeight="1" thickBot="1" x14ac:dyDescent="0.3">
      <c r="A29" s="145" t="str">
        <f>'1. Detailed Budget POA'!A134</f>
        <v xml:space="preserve">2.5 Debt Management operations and system reviewed and strengthened
</v>
      </c>
      <c r="B29" s="252">
        <f>'[1]1. Detailed Budget POA'!B134</f>
        <v>751760</v>
      </c>
      <c r="C29" s="250">
        <v>0</v>
      </c>
      <c r="D29" s="253">
        <f t="shared" si="7"/>
        <v>0</v>
      </c>
      <c r="E29" s="250">
        <v>60</v>
      </c>
      <c r="F29" s="253">
        <f t="shared" si="7"/>
        <v>451056</v>
      </c>
      <c r="G29" s="250">
        <v>40</v>
      </c>
      <c r="H29" s="253">
        <f t="shared" si="7"/>
        <v>300704</v>
      </c>
      <c r="I29" s="250">
        <v>0</v>
      </c>
      <c r="J29" s="253">
        <f t="shared" si="7"/>
        <v>0</v>
      </c>
      <c r="K29" s="250">
        <v>0</v>
      </c>
      <c r="L29" s="253">
        <f t="shared" si="7"/>
        <v>0</v>
      </c>
      <c r="M29" s="75">
        <f t="shared" si="5"/>
        <v>100</v>
      </c>
      <c r="N29" s="207"/>
      <c r="O29" s="208"/>
      <c r="P29" s="208"/>
      <c r="Q29" s="208"/>
      <c r="R29" s="213"/>
      <c r="S29" s="214"/>
      <c r="T29" s="214"/>
      <c r="U29" s="214"/>
      <c r="V29" s="215"/>
      <c r="W29" s="208"/>
      <c r="X29" s="208"/>
      <c r="Y29" s="208"/>
      <c r="Z29" s="208"/>
      <c r="AA29" s="208"/>
      <c r="AB29" s="208"/>
      <c r="AC29" s="208"/>
      <c r="AD29" s="208"/>
      <c r="AE29" s="208"/>
      <c r="AF29" s="208"/>
      <c r="AG29" s="212"/>
      <c r="AH29" s="75"/>
      <c r="AI29" s="75"/>
      <c r="AJ29" s="75"/>
      <c r="AK29" s="75"/>
      <c r="AL29" s="75"/>
      <c r="AM29" s="75"/>
    </row>
    <row r="30" spans="1:39" ht="15.75" thickBot="1" x14ac:dyDescent="0.3">
      <c r="A30" s="145" t="str">
        <f>'1. Detailed Budget POA'!A143</f>
        <v>2.6 Procurement procedures and System reviewed and strengthened</v>
      </c>
      <c r="B30" s="252">
        <f>'[1]1. Detailed Budget POA'!B143</f>
        <v>1364461.6</v>
      </c>
      <c r="C30" s="250">
        <v>10</v>
      </c>
      <c r="D30" s="253">
        <f t="shared" si="7"/>
        <v>136446.16</v>
      </c>
      <c r="E30" s="250">
        <v>15</v>
      </c>
      <c r="F30" s="253">
        <f t="shared" si="7"/>
        <v>204669.24</v>
      </c>
      <c r="G30" s="250">
        <v>45</v>
      </c>
      <c r="H30" s="253">
        <f t="shared" si="7"/>
        <v>614007.72000000009</v>
      </c>
      <c r="I30" s="250">
        <v>30</v>
      </c>
      <c r="J30" s="253">
        <f t="shared" si="7"/>
        <v>409338.48</v>
      </c>
      <c r="K30" s="250">
        <v>0</v>
      </c>
      <c r="L30" s="253">
        <f t="shared" si="7"/>
        <v>0</v>
      </c>
      <c r="M30" s="75">
        <f t="shared" si="5"/>
        <v>100</v>
      </c>
      <c r="N30" s="207"/>
      <c r="O30" s="208"/>
      <c r="P30" s="208"/>
      <c r="Q30" s="221"/>
      <c r="R30" s="222"/>
      <c r="S30" s="222"/>
      <c r="T30" s="222"/>
      <c r="U30" s="222"/>
      <c r="V30" s="222"/>
      <c r="W30" s="222"/>
      <c r="X30" s="222"/>
      <c r="Y30" s="222"/>
      <c r="Z30" s="222"/>
      <c r="AA30" s="222"/>
      <c r="AB30" s="222"/>
      <c r="AC30" s="223"/>
      <c r="AD30" s="208"/>
      <c r="AE30" s="208"/>
      <c r="AF30" s="208"/>
      <c r="AG30" s="212"/>
      <c r="AH30" s="75"/>
      <c r="AI30" s="75"/>
      <c r="AJ30" s="75"/>
      <c r="AK30" s="75"/>
      <c r="AL30" s="75"/>
      <c r="AM30" s="75"/>
    </row>
    <row r="31" spans="1:39" ht="17.649999999999999" customHeight="1" thickBot="1" x14ac:dyDescent="0.3">
      <c r="A31" s="145" t="str">
        <f>'1. Detailed Budget POA'!A149</f>
        <v xml:space="preserve">2.7 Accounting system reviewed and strengthened according to the new International Public Sector Accounting Standards (IPSAS)
</v>
      </c>
      <c r="B31" s="252">
        <f>'[1]1. Detailed Budget POA'!B149</f>
        <v>530000</v>
      </c>
      <c r="C31" s="250">
        <v>0</v>
      </c>
      <c r="D31" s="253">
        <f t="shared" si="7"/>
        <v>0</v>
      </c>
      <c r="E31" s="250">
        <v>60</v>
      </c>
      <c r="F31" s="253">
        <f t="shared" si="7"/>
        <v>318000</v>
      </c>
      <c r="G31" s="250">
        <v>40</v>
      </c>
      <c r="H31" s="253">
        <f t="shared" si="7"/>
        <v>212000</v>
      </c>
      <c r="I31" s="250">
        <v>0</v>
      </c>
      <c r="J31" s="253">
        <f t="shared" si="7"/>
        <v>0</v>
      </c>
      <c r="K31" s="250">
        <v>0</v>
      </c>
      <c r="L31" s="253">
        <f t="shared" si="7"/>
        <v>0</v>
      </c>
      <c r="M31" s="75">
        <f t="shared" si="5"/>
        <v>100</v>
      </c>
      <c r="N31" s="207"/>
      <c r="O31" s="208"/>
      <c r="P31" s="208"/>
      <c r="Q31" s="208"/>
      <c r="R31" s="221"/>
      <c r="S31" s="222"/>
      <c r="T31" s="222"/>
      <c r="U31" s="222"/>
      <c r="V31" s="223"/>
      <c r="W31" s="208"/>
      <c r="X31" s="208"/>
      <c r="Y31" s="208"/>
      <c r="Z31" s="208"/>
      <c r="AA31" s="208"/>
      <c r="AB31" s="208"/>
      <c r="AC31" s="208"/>
      <c r="AD31" s="208"/>
      <c r="AE31" s="208"/>
      <c r="AF31" s="208"/>
      <c r="AG31" s="212"/>
      <c r="AH31" s="75"/>
      <c r="AI31" s="75"/>
      <c r="AJ31" s="75"/>
      <c r="AK31" s="75"/>
      <c r="AL31" s="75"/>
      <c r="AM31" s="75"/>
    </row>
    <row r="32" spans="1:39" ht="16.7" customHeight="1" thickBot="1" x14ac:dyDescent="0.3">
      <c r="A32" s="145" t="str">
        <f>'1. Detailed Budget POA'!A158</f>
        <v xml:space="preserve">2.8 Internal Control needs assessment and recommendations for improvement prepared and implemented; 
</v>
      </c>
      <c r="B32" s="252">
        <f>'[1]1. Detailed Budget POA'!B158</f>
        <v>49500</v>
      </c>
      <c r="C32" s="250">
        <v>20</v>
      </c>
      <c r="D32" s="253">
        <f t="shared" si="7"/>
        <v>9900</v>
      </c>
      <c r="E32" s="250">
        <v>80</v>
      </c>
      <c r="F32" s="253">
        <f t="shared" si="7"/>
        <v>39600</v>
      </c>
      <c r="G32" s="250">
        <v>0</v>
      </c>
      <c r="H32" s="253">
        <f t="shared" si="7"/>
        <v>0</v>
      </c>
      <c r="I32" s="250">
        <v>0</v>
      </c>
      <c r="J32" s="253">
        <f t="shared" si="7"/>
        <v>0</v>
      </c>
      <c r="K32" s="250">
        <v>0</v>
      </c>
      <c r="L32" s="253">
        <f t="shared" si="7"/>
        <v>0</v>
      </c>
      <c r="M32" s="75">
        <f t="shared" si="5"/>
        <v>100</v>
      </c>
      <c r="N32" s="207"/>
      <c r="O32" s="208"/>
      <c r="P32" s="208"/>
      <c r="Q32" s="221"/>
      <c r="R32" s="210"/>
      <c r="S32" s="210"/>
      <c r="T32" s="211"/>
      <c r="U32" s="208"/>
      <c r="V32" s="208"/>
      <c r="W32" s="208"/>
      <c r="X32" s="208"/>
      <c r="Y32" s="208"/>
      <c r="Z32" s="208"/>
      <c r="AA32" s="208"/>
      <c r="AB32" s="208"/>
      <c r="AC32" s="208"/>
      <c r="AD32" s="208"/>
      <c r="AE32" s="208"/>
      <c r="AF32" s="208"/>
      <c r="AG32" s="212"/>
      <c r="AH32" s="75"/>
      <c r="AI32" s="75"/>
      <c r="AJ32" s="75"/>
      <c r="AK32" s="75"/>
      <c r="AL32" s="75"/>
      <c r="AM32" s="75"/>
    </row>
    <row r="33" spans="1:39" ht="16.7" customHeight="1" thickBot="1" x14ac:dyDescent="0.3">
      <c r="A33" s="192" t="str">
        <f>'1. Detailed Budget POA'!A167</f>
        <v xml:space="preserve">2.9 State Owned Enterprises (SOEs) business model reviewed and implemented </v>
      </c>
      <c r="B33" s="252">
        <f>'[1]1. Detailed Budget POA'!B167</f>
        <v>693000</v>
      </c>
      <c r="C33" s="250">
        <v>0</v>
      </c>
      <c r="D33" s="253">
        <f t="shared" si="7"/>
        <v>0</v>
      </c>
      <c r="E33" s="250">
        <v>0</v>
      </c>
      <c r="F33" s="253">
        <f t="shared" si="7"/>
        <v>0</v>
      </c>
      <c r="G33" s="250">
        <v>30</v>
      </c>
      <c r="H33" s="253">
        <f t="shared" si="7"/>
        <v>207900</v>
      </c>
      <c r="I33" s="250">
        <v>70</v>
      </c>
      <c r="J33" s="253">
        <f t="shared" si="7"/>
        <v>485100</v>
      </c>
      <c r="K33" s="250">
        <v>0</v>
      </c>
      <c r="L33" s="253">
        <f t="shared" si="7"/>
        <v>0</v>
      </c>
      <c r="M33" s="75">
        <f t="shared" si="5"/>
        <v>100</v>
      </c>
      <c r="N33" s="207"/>
      <c r="O33" s="208"/>
      <c r="P33" s="208"/>
      <c r="Q33" s="208"/>
      <c r="R33" s="208"/>
      <c r="S33" s="208"/>
      <c r="T33" s="208"/>
      <c r="U33" s="208"/>
      <c r="V33" s="208"/>
      <c r="W33" s="221"/>
      <c r="X33" s="222"/>
      <c r="Y33" s="222"/>
      <c r="Z33" s="222"/>
      <c r="AA33" s="222"/>
      <c r="AB33" s="222"/>
      <c r="AC33" s="223"/>
      <c r="AD33" s="208"/>
      <c r="AE33" s="208"/>
      <c r="AF33" s="208"/>
      <c r="AG33" s="212"/>
      <c r="AH33" s="75"/>
      <c r="AI33" s="75"/>
      <c r="AJ33" s="75"/>
      <c r="AK33" s="75"/>
      <c r="AL33" s="75"/>
      <c r="AM33" s="75"/>
    </row>
    <row r="34" spans="1:39" ht="17.100000000000001" customHeight="1" thickBot="1" x14ac:dyDescent="0.3">
      <c r="A34" s="145" t="str">
        <f>'1. Detailed Budget POA'!A172</f>
        <v xml:space="preserve">2.10 Internal Audit system business model reviewed and strengthened
</v>
      </c>
      <c r="B34" s="252">
        <f>'[1]1. Detailed Budget POA'!B172</f>
        <v>734000</v>
      </c>
      <c r="C34" s="250">
        <v>0</v>
      </c>
      <c r="D34" s="253">
        <f t="shared" si="7"/>
        <v>0</v>
      </c>
      <c r="E34" s="250">
        <v>30</v>
      </c>
      <c r="F34" s="253">
        <f t="shared" si="7"/>
        <v>220200</v>
      </c>
      <c r="G34" s="250">
        <v>70</v>
      </c>
      <c r="H34" s="253">
        <f t="shared" si="7"/>
        <v>513800</v>
      </c>
      <c r="I34" s="250">
        <v>0</v>
      </c>
      <c r="J34" s="253">
        <f t="shared" si="7"/>
        <v>0</v>
      </c>
      <c r="K34" s="250">
        <v>0</v>
      </c>
      <c r="L34" s="253">
        <f t="shared" si="7"/>
        <v>0</v>
      </c>
      <c r="M34" s="75">
        <f t="shared" si="5"/>
        <v>100</v>
      </c>
      <c r="N34" s="207"/>
      <c r="O34" s="208"/>
      <c r="P34" s="208"/>
      <c r="Q34" s="208"/>
      <c r="R34" s="208"/>
      <c r="S34" s="208"/>
      <c r="T34" s="208"/>
      <c r="U34" s="208"/>
      <c r="V34" s="221"/>
      <c r="W34" s="222"/>
      <c r="X34" s="222"/>
      <c r="Y34" s="223"/>
      <c r="Z34" s="208"/>
      <c r="AA34" s="208"/>
      <c r="AB34" s="208"/>
      <c r="AC34" s="208"/>
      <c r="AD34" s="208"/>
      <c r="AE34" s="208"/>
      <c r="AF34" s="208"/>
      <c r="AG34" s="212"/>
      <c r="AH34" s="75"/>
      <c r="AI34" s="75"/>
      <c r="AJ34" s="75"/>
      <c r="AK34" s="75"/>
      <c r="AL34" s="75"/>
      <c r="AM34" s="75"/>
    </row>
    <row r="35" spans="1:39" ht="17.100000000000001" customHeight="1" thickBot="1" x14ac:dyDescent="0.3">
      <c r="A35" s="192" t="str">
        <f>'1. Detailed Budget POA'!A181</f>
        <v xml:space="preserve">2.11 Transparency Portal for the MoF designed and implemented
</v>
      </c>
      <c r="B35" s="252">
        <f>'[1]1. Detailed Budget POA'!B181</f>
        <v>234960</v>
      </c>
      <c r="C35" s="250">
        <v>0</v>
      </c>
      <c r="D35" s="253">
        <f t="shared" si="7"/>
        <v>0</v>
      </c>
      <c r="E35" s="250">
        <v>0</v>
      </c>
      <c r="F35" s="253">
        <f t="shared" si="7"/>
        <v>0</v>
      </c>
      <c r="G35" s="250">
        <v>0</v>
      </c>
      <c r="H35" s="253">
        <f t="shared" si="7"/>
        <v>0</v>
      </c>
      <c r="I35" s="250">
        <v>40</v>
      </c>
      <c r="J35" s="253">
        <f t="shared" si="7"/>
        <v>93984</v>
      </c>
      <c r="K35" s="250">
        <v>60</v>
      </c>
      <c r="L35" s="253">
        <f t="shared" si="7"/>
        <v>140976</v>
      </c>
      <c r="M35" s="75">
        <f t="shared" si="5"/>
        <v>100</v>
      </c>
      <c r="N35" s="207"/>
      <c r="O35" s="208"/>
      <c r="P35" s="208"/>
      <c r="Q35" s="208"/>
      <c r="R35" s="208"/>
      <c r="S35" s="208"/>
      <c r="T35" s="208"/>
      <c r="U35" s="208"/>
      <c r="V35" s="208"/>
      <c r="W35" s="208"/>
      <c r="X35" s="208"/>
      <c r="Y35" s="208"/>
      <c r="Z35" s="221"/>
      <c r="AA35" s="222"/>
      <c r="AB35" s="222"/>
      <c r="AC35" s="222"/>
      <c r="AD35" s="222"/>
      <c r="AE35" s="223"/>
      <c r="AF35" s="208"/>
      <c r="AG35" s="212"/>
      <c r="AH35" s="75"/>
      <c r="AI35" s="75"/>
      <c r="AJ35" s="75"/>
      <c r="AK35" s="75"/>
      <c r="AL35" s="75"/>
      <c r="AM35" s="75"/>
    </row>
    <row r="36" spans="1:39" ht="30.95" customHeight="1" thickBot="1" x14ac:dyDescent="0.3">
      <c r="A36" s="145" t="str">
        <f>'1. Detailed Budget POA'!A190</f>
        <v xml:space="preserve">2.12 Technological infrastructures of the MOF made adequate (ORA, Customs, Directorate of Finance) developed and implemented
</v>
      </c>
      <c r="B36" s="252">
        <f>'[1]1. Detailed Budget POA'!B190</f>
        <v>2508000</v>
      </c>
      <c r="C36" s="250">
        <v>0</v>
      </c>
      <c r="D36" s="253">
        <f t="shared" si="7"/>
        <v>0</v>
      </c>
      <c r="E36" s="250">
        <v>0</v>
      </c>
      <c r="F36" s="253">
        <f t="shared" si="7"/>
        <v>0</v>
      </c>
      <c r="G36" s="250">
        <v>30</v>
      </c>
      <c r="H36" s="253">
        <f t="shared" si="7"/>
        <v>752400</v>
      </c>
      <c r="I36" s="250">
        <v>30</v>
      </c>
      <c r="J36" s="253">
        <f t="shared" si="7"/>
        <v>752400</v>
      </c>
      <c r="K36" s="250">
        <v>40</v>
      </c>
      <c r="L36" s="253">
        <f t="shared" si="7"/>
        <v>1003200</v>
      </c>
      <c r="M36" s="75">
        <f t="shared" si="5"/>
        <v>100</v>
      </c>
      <c r="N36" s="207"/>
      <c r="O36" s="208"/>
      <c r="P36" s="208"/>
      <c r="Q36" s="208"/>
      <c r="R36" s="208"/>
      <c r="S36" s="208"/>
      <c r="T36" s="208"/>
      <c r="U36" s="208"/>
      <c r="V36" s="208"/>
      <c r="W36" s="208"/>
      <c r="X36" s="208"/>
      <c r="Y36" s="208"/>
      <c r="Z36" s="208"/>
      <c r="AA36" s="209"/>
      <c r="AB36" s="210"/>
      <c r="AC36" s="210"/>
      <c r="AD36" s="210"/>
      <c r="AE36" s="211"/>
      <c r="AF36" s="208"/>
      <c r="AG36" s="212"/>
      <c r="AH36" s="75"/>
      <c r="AI36" s="75"/>
      <c r="AJ36" s="75"/>
      <c r="AK36" s="75"/>
      <c r="AL36" s="75"/>
      <c r="AM36" s="75"/>
    </row>
    <row r="37" spans="1:39" ht="13.7" customHeight="1" thickBot="1" x14ac:dyDescent="0.3">
      <c r="A37" s="243" t="str">
        <f>'1. Detailed Budget POA'!A200</f>
        <v>2.13 PFM Legal Framework reviewed and updated</v>
      </c>
      <c r="B37" s="244">
        <f>'[1]1. Detailed Budget POA'!B200</f>
        <v>228000</v>
      </c>
      <c r="C37" s="236">
        <v>0</v>
      </c>
      <c r="D37" s="245">
        <f>$B37*C37/100</f>
        <v>0</v>
      </c>
      <c r="E37" s="236">
        <v>0</v>
      </c>
      <c r="F37" s="245">
        <f>$B37*E37/100</f>
        <v>0</v>
      </c>
      <c r="G37" s="236">
        <v>40</v>
      </c>
      <c r="H37" s="245">
        <f>$B37*G37/100</f>
        <v>91200</v>
      </c>
      <c r="I37" s="236">
        <v>60</v>
      </c>
      <c r="J37" s="245">
        <f>$B37*I37/100</f>
        <v>136800</v>
      </c>
      <c r="K37" s="236">
        <v>0</v>
      </c>
      <c r="L37" s="245">
        <f>$B37*K37/100</f>
        <v>0</v>
      </c>
      <c r="M37" s="75">
        <f>C37+E37+G37+I37+K37</f>
        <v>100</v>
      </c>
      <c r="N37" s="207"/>
      <c r="O37" s="208"/>
      <c r="P37" s="208"/>
      <c r="Q37" s="208"/>
      <c r="R37" s="208"/>
      <c r="S37" s="208"/>
      <c r="T37" s="208"/>
      <c r="U37" s="208"/>
      <c r="V37" s="213"/>
      <c r="W37" s="214"/>
      <c r="X37" s="214"/>
      <c r="Y37" s="214"/>
      <c r="Z37" s="215"/>
      <c r="AA37" s="208"/>
      <c r="AB37" s="208"/>
      <c r="AC37" s="208"/>
      <c r="AD37" s="208"/>
      <c r="AE37" s="208"/>
      <c r="AF37" s="208"/>
      <c r="AG37" s="212"/>
      <c r="AH37" s="75"/>
      <c r="AI37" s="75"/>
      <c r="AJ37" s="75"/>
      <c r="AK37" s="75"/>
      <c r="AL37" s="75"/>
      <c r="AM37" s="75"/>
    </row>
    <row r="38" spans="1:39" ht="16.5" thickBot="1" x14ac:dyDescent="0.3">
      <c r="A38" s="368">
        <f>C38+E38+G38+I38+K38</f>
        <v>0</v>
      </c>
      <c r="B38" s="369"/>
      <c r="C38" s="369"/>
      <c r="D38" s="369"/>
      <c r="E38" s="369"/>
      <c r="F38" s="369"/>
      <c r="G38" s="369"/>
      <c r="H38" s="369"/>
      <c r="I38" s="369"/>
      <c r="J38" s="369"/>
      <c r="K38" s="369"/>
      <c r="L38" s="369"/>
      <c r="M38" s="369"/>
      <c r="N38" s="369"/>
      <c r="O38" s="369"/>
      <c r="P38" s="369"/>
      <c r="Q38" s="369"/>
      <c r="R38" s="369"/>
      <c r="S38" s="369"/>
      <c r="T38" s="369"/>
      <c r="U38" s="369"/>
      <c r="V38" s="369"/>
      <c r="W38" s="369"/>
      <c r="X38" s="369"/>
      <c r="Y38" s="369"/>
      <c r="Z38" s="369"/>
      <c r="AA38" s="369"/>
      <c r="AB38" s="369"/>
      <c r="AC38" s="369"/>
      <c r="AD38" s="369"/>
      <c r="AE38" s="369"/>
      <c r="AF38" s="369"/>
      <c r="AG38" s="370"/>
      <c r="AH38" s="75"/>
      <c r="AI38" s="75"/>
      <c r="AJ38" s="75"/>
      <c r="AK38" s="75"/>
      <c r="AL38" s="75"/>
      <c r="AM38" s="75"/>
    </row>
    <row r="39" spans="1:39" ht="14.45" customHeight="1" x14ac:dyDescent="0.25">
      <c r="A39" s="386" t="str">
        <f>'1. Detailed Budget POA'!C206</f>
        <v>Component III. Public Investment Strengthening</v>
      </c>
      <c r="B39" s="240" t="s">
        <v>66</v>
      </c>
      <c r="C39" s="241" t="s">
        <v>5</v>
      </c>
      <c r="D39" s="242" t="s">
        <v>67</v>
      </c>
      <c r="E39" s="242" t="s">
        <v>5</v>
      </c>
      <c r="F39" s="242" t="s">
        <v>68</v>
      </c>
      <c r="G39" s="242" t="s">
        <v>5</v>
      </c>
      <c r="H39" s="242" t="s">
        <v>69</v>
      </c>
      <c r="I39" s="242" t="s">
        <v>5</v>
      </c>
      <c r="J39" s="242" t="s">
        <v>70</v>
      </c>
      <c r="K39" s="242" t="s">
        <v>5</v>
      </c>
      <c r="L39" s="242" t="s">
        <v>71</v>
      </c>
      <c r="M39" s="372" t="s">
        <v>5</v>
      </c>
      <c r="N39" s="356" t="s">
        <v>67</v>
      </c>
      <c r="O39" s="357"/>
      <c r="P39" s="357"/>
      <c r="Q39" s="358"/>
      <c r="R39" s="356" t="s">
        <v>313</v>
      </c>
      <c r="S39" s="357"/>
      <c r="T39" s="357"/>
      <c r="U39" s="358"/>
      <c r="V39" s="356" t="s">
        <v>314</v>
      </c>
      <c r="W39" s="357"/>
      <c r="X39" s="357"/>
      <c r="Y39" s="358"/>
      <c r="Z39" s="356" t="s">
        <v>315</v>
      </c>
      <c r="AA39" s="357"/>
      <c r="AB39" s="357"/>
      <c r="AC39" s="358"/>
      <c r="AD39" s="356" t="s">
        <v>71</v>
      </c>
      <c r="AE39" s="357"/>
      <c r="AF39" s="357"/>
      <c r="AG39" s="358"/>
      <c r="AH39" s="75"/>
      <c r="AI39" s="75"/>
      <c r="AJ39" s="75"/>
      <c r="AK39" s="75"/>
      <c r="AL39" s="75"/>
      <c r="AM39" s="75"/>
    </row>
    <row r="40" spans="1:39" ht="15.75" thickBot="1" x14ac:dyDescent="0.3">
      <c r="A40" s="387"/>
      <c r="B40" s="84">
        <f>SUM(B41:B42)</f>
        <v>3168268</v>
      </c>
      <c r="C40" s="74">
        <f>D40/$B40*100</f>
        <v>0</v>
      </c>
      <c r="D40" s="84">
        <f>SUM(D41:D42)</f>
        <v>0</v>
      </c>
      <c r="E40" s="74">
        <f>F40/$B40*100</f>
        <v>7.1685854858238001</v>
      </c>
      <c r="F40" s="84">
        <f>SUM(F41:F42)</f>
        <v>227120</v>
      </c>
      <c r="G40" s="74">
        <f>H40/$B40*100</f>
        <v>23.584292742911899</v>
      </c>
      <c r="H40" s="84">
        <f>SUM(H41:H42)</f>
        <v>747213.59999999986</v>
      </c>
      <c r="I40" s="74">
        <f>J40/$B40*100</f>
        <v>37.168585485823797</v>
      </c>
      <c r="J40" s="84">
        <f>SUM(J41:J42)</f>
        <v>1177600.3999999999</v>
      </c>
      <c r="K40" s="74">
        <f>L40/$B40*100</f>
        <v>32.078536285440492</v>
      </c>
      <c r="L40" s="84">
        <f>SUM(L41:L42)</f>
        <v>1016333.9999999999</v>
      </c>
      <c r="M40" s="373"/>
      <c r="N40" s="359"/>
      <c r="O40" s="360"/>
      <c r="P40" s="360"/>
      <c r="Q40" s="361"/>
      <c r="R40" s="359"/>
      <c r="S40" s="360"/>
      <c r="T40" s="360"/>
      <c r="U40" s="361"/>
      <c r="V40" s="359"/>
      <c r="W40" s="360"/>
      <c r="X40" s="360"/>
      <c r="Y40" s="361"/>
      <c r="Z40" s="359"/>
      <c r="AA40" s="360"/>
      <c r="AB40" s="360"/>
      <c r="AC40" s="361"/>
      <c r="AD40" s="359"/>
      <c r="AE40" s="360"/>
      <c r="AF40" s="360"/>
      <c r="AG40" s="361"/>
      <c r="AH40" s="75"/>
      <c r="AI40" s="75"/>
      <c r="AJ40" s="75"/>
      <c r="AK40" s="75"/>
      <c r="AL40" s="75"/>
      <c r="AM40" s="75"/>
    </row>
    <row r="41" spans="1:39" ht="30.75" thickBot="1" x14ac:dyDescent="0.3">
      <c r="A41" s="83" t="str">
        <f>'1. Detailed Budget POA'!A209</f>
        <v>3.1 Establishment of a PPP Unit, including a business model and a system for PPP management</v>
      </c>
      <c r="B41" s="251">
        <f>'[1]1. Detailed Budget POA'!B209</f>
        <v>1135600</v>
      </c>
      <c r="C41" s="250">
        <v>0</v>
      </c>
      <c r="D41" s="251">
        <f t="shared" ref="D41:D42" si="8">$B41*C41/100</f>
        <v>0</v>
      </c>
      <c r="E41" s="250">
        <v>20</v>
      </c>
      <c r="F41" s="251">
        <f t="shared" ref="F41:F42" si="9">$B41*E41/100</f>
        <v>227120</v>
      </c>
      <c r="G41" s="250">
        <v>30</v>
      </c>
      <c r="H41" s="251">
        <f t="shared" ref="H41:H42" si="10">$B41*G41/100</f>
        <v>340680</v>
      </c>
      <c r="I41" s="250">
        <v>50</v>
      </c>
      <c r="J41" s="251">
        <f t="shared" ref="J41:J42" si="11">$B41*I41/100</f>
        <v>567800</v>
      </c>
      <c r="K41" s="250">
        <v>0</v>
      </c>
      <c r="L41" s="251">
        <f t="shared" ref="L41:L42" si="12">$B41*K41/100</f>
        <v>0</v>
      </c>
      <c r="M41" s="75">
        <f t="shared" si="5"/>
        <v>100</v>
      </c>
      <c r="N41" s="207"/>
      <c r="O41" s="208"/>
      <c r="P41" s="208"/>
      <c r="Q41" s="208"/>
      <c r="R41" s="231"/>
      <c r="S41" s="231"/>
      <c r="T41" s="231"/>
      <c r="U41" s="231"/>
      <c r="V41" s="231"/>
      <c r="W41" s="231"/>
      <c r="X41" s="231"/>
      <c r="Y41" s="231"/>
      <c r="Z41" s="231"/>
      <c r="AA41" s="231"/>
      <c r="AB41" s="231"/>
      <c r="AC41" s="231"/>
      <c r="AD41" s="208"/>
      <c r="AE41" s="208"/>
      <c r="AF41" s="208"/>
      <c r="AG41" s="212"/>
      <c r="AH41" s="75"/>
      <c r="AI41" s="75"/>
      <c r="AJ41" s="75"/>
      <c r="AK41" s="75"/>
      <c r="AL41" s="75"/>
      <c r="AM41" s="75"/>
    </row>
    <row r="42" spans="1:39" ht="30.75" thickBot="1" x14ac:dyDescent="0.3">
      <c r="A42" s="246" t="str">
        <f>'1. Detailed Budget POA'!A214</f>
        <v>3.2 Implementation of an operational plan and funding for planning, pre-investment and feasibility studies in public infrastructure and PPPs</v>
      </c>
      <c r="B42" s="237">
        <f>'[1]1. Detailed Budget POA'!B214</f>
        <v>2032667.9999999998</v>
      </c>
      <c r="C42" s="236">
        <v>0</v>
      </c>
      <c r="D42" s="237">
        <f t="shared" si="8"/>
        <v>0</v>
      </c>
      <c r="E42" s="236">
        <v>0</v>
      </c>
      <c r="F42" s="237">
        <f t="shared" si="9"/>
        <v>0</v>
      </c>
      <c r="G42" s="236">
        <v>20</v>
      </c>
      <c r="H42" s="237">
        <f t="shared" si="10"/>
        <v>406533.59999999992</v>
      </c>
      <c r="I42" s="236">
        <v>30</v>
      </c>
      <c r="J42" s="237">
        <f t="shared" si="11"/>
        <v>609800.39999999991</v>
      </c>
      <c r="K42" s="236">
        <v>50</v>
      </c>
      <c r="L42" s="237">
        <f t="shared" si="12"/>
        <v>1016333.9999999999</v>
      </c>
      <c r="M42" s="75">
        <f t="shared" si="5"/>
        <v>100</v>
      </c>
      <c r="N42" s="207"/>
      <c r="O42" s="208"/>
      <c r="P42" s="208"/>
      <c r="Q42" s="208"/>
      <c r="R42" s="208"/>
      <c r="S42" s="208"/>
      <c r="T42" s="208"/>
      <c r="U42" s="208"/>
      <c r="V42" s="213"/>
      <c r="W42" s="214"/>
      <c r="X42" s="214"/>
      <c r="Y42" s="214"/>
      <c r="Z42" s="214"/>
      <c r="AA42" s="214"/>
      <c r="AB42" s="214"/>
      <c r="AC42" s="214"/>
      <c r="AD42" s="214"/>
      <c r="AE42" s="214"/>
      <c r="AF42" s="214"/>
      <c r="AG42" s="215"/>
      <c r="AH42" s="75"/>
      <c r="AI42" s="75"/>
      <c r="AJ42" s="75"/>
      <c r="AK42" s="75"/>
      <c r="AL42" s="75"/>
      <c r="AM42" s="75"/>
    </row>
    <row r="43" spans="1:39" ht="16.5" thickBot="1" x14ac:dyDescent="0.3">
      <c r="A43" s="368"/>
      <c r="B43" s="371"/>
      <c r="C43" s="371"/>
      <c r="D43" s="371"/>
      <c r="E43" s="371"/>
      <c r="F43" s="371"/>
      <c r="G43" s="371"/>
      <c r="H43" s="371"/>
      <c r="I43" s="371"/>
      <c r="J43" s="371"/>
      <c r="K43" s="371"/>
      <c r="L43" s="371"/>
      <c r="M43" s="369"/>
      <c r="N43" s="369"/>
      <c r="O43" s="369"/>
      <c r="P43" s="369"/>
      <c r="Q43" s="369"/>
      <c r="R43" s="369"/>
      <c r="S43" s="369"/>
      <c r="T43" s="369"/>
      <c r="U43" s="369"/>
      <c r="V43" s="369"/>
      <c r="W43" s="369"/>
      <c r="X43" s="369"/>
      <c r="Y43" s="369"/>
      <c r="Z43" s="369"/>
      <c r="AA43" s="369"/>
      <c r="AB43" s="369"/>
      <c r="AC43" s="369"/>
      <c r="AD43" s="369"/>
      <c r="AE43" s="369"/>
      <c r="AF43" s="369"/>
      <c r="AG43" s="370"/>
      <c r="AH43" s="75"/>
      <c r="AI43" s="75"/>
      <c r="AJ43" s="75"/>
      <c r="AK43" s="75"/>
      <c r="AL43" s="75"/>
      <c r="AM43" s="75"/>
    </row>
    <row r="44" spans="1:39" s="79" customFormat="1" ht="14.45" customHeight="1" x14ac:dyDescent="0.25">
      <c r="A44" s="384" t="str">
        <f>'1. Detailed Budget POA'!C220</f>
        <v>Project Administration</v>
      </c>
      <c r="B44" s="247" t="s">
        <v>66</v>
      </c>
      <c r="C44" s="241" t="s">
        <v>5</v>
      </c>
      <c r="D44" s="242" t="s">
        <v>67</v>
      </c>
      <c r="E44" s="242" t="s">
        <v>5</v>
      </c>
      <c r="F44" s="242" t="s">
        <v>68</v>
      </c>
      <c r="G44" s="242" t="s">
        <v>5</v>
      </c>
      <c r="H44" s="242" t="s">
        <v>69</v>
      </c>
      <c r="I44" s="242" t="s">
        <v>5</v>
      </c>
      <c r="J44" s="242" t="s">
        <v>70</v>
      </c>
      <c r="K44" s="242" t="s">
        <v>5</v>
      </c>
      <c r="L44" s="242" t="s">
        <v>71</v>
      </c>
      <c r="M44" s="372" t="s">
        <v>5</v>
      </c>
      <c r="N44" s="356" t="s">
        <v>67</v>
      </c>
      <c r="O44" s="357"/>
      <c r="P44" s="357"/>
      <c r="Q44" s="358"/>
      <c r="R44" s="356" t="s">
        <v>313</v>
      </c>
      <c r="S44" s="357"/>
      <c r="T44" s="357"/>
      <c r="U44" s="358"/>
      <c r="V44" s="356" t="s">
        <v>314</v>
      </c>
      <c r="W44" s="357"/>
      <c r="X44" s="357"/>
      <c r="Y44" s="358"/>
      <c r="Z44" s="356" t="s">
        <v>315</v>
      </c>
      <c r="AA44" s="357"/>
      <c r="AB44" s="357"/>
      <c r="AC44" s="358"/>
      <c r="AD44" s="356" t="s">
        <v>71</v>
      </c>
      <c r="AE44" s="357"/>
      <c r="AF44" s="357"/>
      <c r="AG44" s="358"/>
      <c r="AH44" s="78"/>
      <c r="AI44" s="78"/>
      <c r="AJ44" s="78"/>
      <c r="AK44" s="78"/>
      <c r="AL44" s="78"/>
      <c r="AM44" s="78"/>
    </row>
    <row r="45" spans="1:39" s="79" customFormat="1" ht="15.75" thickBot="1" x14ac:dyDescent="0.3">
      <c r="A45" s="385"/>
      <c r="B45" s="84">
        <f>SUM(B46:B53)</f>
        <v>2092164</v>
      </c>
      <c r="C45" s="76">
        <f>D45/$B45*100</f>
        <v>22.198680409375175</v>
      </c>
      <c r="D45" s="84">
        <f>SUM(D46:D54)</f>
        <v>464432.8</v>
      </c>
      <c r="E45" s="74">
        <f>F45/$B45*100</f>
        <v>17.418940388994365</v>
      </c>
      <c r="F45" s="84">
        <f>SUM(F46:F54)</f>
        <v>364432.80000000005</v>
      </c>
      <c r="G45" s="74">
        <f>H45/$B45*100</f>
        <v>17.418940388994365</v>
      </c>
      <c r="H45" s="84">
        <f>SUM(H46:H54)</f>
        <v>364432.80000000005</v>
      </c>
      <c r="I45" s="74">
        <f>J45/$B45*100</f>
        <v>53.940887999219989</v>
      </c>
      <c r="J45" s="84">
        <f>SUM(J46:J54)</f>
        <v>1128531.8400000008</v>
      </c>
      <c r="K45" s="74">
        <f>L45/$B45*100</f>
        <v>80.327419838980163</v>
      </c>
      <c r="L45" s="84">
        <f>SUM(L46:L54)</f>
        <v>1680581.360000001</v>
      </c>
      <c r="M45" s="373"/>
      <c r="N45" s="359"/>
      <c r="O45" s="360"/>
      <c r="P45" s="360"/>
      <c r="Q45" s="361"/>
      <c r="R45" s="359"/>
      <c r="S45" s="360"/>
      <c r="T45" s="360"/>
      <c r="U45" s="361"/>
      <c r="V45" s="359"/>
      <c r="W45" s="360"/>
      <c r="X45" s="360"/>
      <c r="Y45" s="361"/>
      <c r="Z45" s="359"/>
      <c r="AA45" s="360"/>
      <c r="AB45" s="360"/>
      <c r="AC45" s="361"/>
      <c r="AD45" s="359"/>
      <c r="AE45" s="360"/>
      <c r="AF45" s="360"/>
      <c r="AG45" s="361"/>
      <c r="AH45" s="78"/>
      <c r="AI45" s="78"/>
      <c r="AJ45" s="78"/>
      <c r="AK45" s="78"/>
      <c r="AL45" s="78"/>
      <c r="AM45" s="78"/>
    </row>
    <row r="46" spans="1:39" x14ac:dyDescent="0.25">
      <c r="A46" s="146" t="str">
        <f>'1. Detailed Budget POA'!A221</f>
        <v>Technical Coordinator</v>
      </c>
      <c r="B46" s="252">
        <f>'1. Detailed Budget POA'!B221</f>
        <v>244800</v>
      </c>
      <c r="C46" s="254">
        <v>20</v>
      </c>
      <c r="D46" s="251">
        <f t="shared" ref="D46:L53" si="13">$B46*C46/100</f>
        <v>48960</v>
      </c>
      <c r="E46" s="254">
        <v>20</v>
      </c>
      <c r="F46" s="251">
        <f t="shared" ref="F46:F53" si="14">$B46*E46/100</f>
        <v>48960</v>
      </c>
      <c r="G46" s="255">
        <v>20</v>
      </c>
      <c r="H46" s="251">
        <f t="shared" ref="H46:H53" si="15">$B46*G46/100</f>
        <v>48960</v>
      </c>
      <c r="I46" s="255">
        <v>20</v>
      </c>
      <c r="J46" s="251">
        <f t="shared" ref="J46:J53" si="16">$B46*I46/100</f>
        <v>48960</v>
      </c>
      <c r="K46" s="255">
        <v>20</v>
      </c>
      <c r="L46" s="251">
        <f t="shared" ref="L46:L53" si="17">$B46*K46/100</f>
        <v>48960</v>
      </c>
      <c r="M46" s="75">
        <f t="shared" si="5"/>
        <v>100</v>
      </c>
      <c r="N46" s="213"/>
      <c r="O46" s="214"/>
      <c r="P46" s="214"/>
      <c r="Q46" s="214"/>
      <c r="R46" s="214"/>
      <c r="S46" s="214"/>
      <c r="T46" s="214"/>
      <c r="U46" s="214"/>
      <c r="V46" s="214"/>
      <c r="W46" s="214"/>
      <c r="X46" s="214"/>
      <c r="Y46" s="214"/>
      <c r="Z46" s="214"/>
      <c r="AA46" s="214"/>
      <c r="AB46" s="214"/>
      <c r="AC46" s="214"/>
      <c r="AD46" s="214"/>
      <c r="AE46" s="214"/>
      <c r="AF46" s="214"/>
      <c r="AG46" s="215"/>
      <c r="AH46" s="75"/>
      <c r="AI46" s="75"/>
      <c r="AJ46" s="75"/>
      <c r="AK46" s="75"/>
      <c r="AL46" s="75"/>
      <c r="AM46" s="75"/>
    </row>
    <row r="47" spans="1:39" x14ac:dyDescent="0.25">
      <c r="A47" s="257" t="str">
        <f>'1. Detailed Budget POA'!A222</f>
        <v>Monitoring Tools</v>
      </c>
      <c r="B47" s="252">
        <f>'1. Detailed Budget POA'!B222</f>
        <v>100000</v>
      </c>
      <c r="C47" s="254">
        <v>100</v>
      </c>
      <c r="D47" s="251">
        <f t="shared" ref="D47" si="18">$B47*C47/100</f>
        <v>100000</v>
      </c>
      <c r="E47" s="254">
        <v>0</v>
      </c>
      <c r="F47" s="251">
        <f t="shared" ref="F47" si="19">$B47*E47/100</f>
        <v>0</v>
      </c>
      <c r="G47" s="255">
        <v>0</v>
      </c>
      <c r="H47" s="251">
        <f t="shared" ref="H47" si="20">$B47*G47/100</f>
        <v>0</v>
      </c>
      <c r="I47" s="255">
        <v>0</v>
      </c>
      <c r="J47" s="251">
        <f t="shared" ref="J47" si="21">$B47*I47/100</f>
        <v>0</v>
      </c>
      <c r="K47" s="255">
        <v>0</v>
      </c>
      <c r="L47" s="251">
        <f t="shared" ref="L47" si="22">$B47*K47/100</f>
        <v>0</v>
      </c>
      <c r="M47" s="75">
        <f t="shared" si="5"/>
        <v>100</v>
      </c>
      <c r="N47" s="216"/>
      <c r="O47" s="267"/>
      <c r="P47" s="224"/>
      <c r="Q47" s="224"/>
      <c r="R47" s="224"/>
      <c r="S47" s="224"/>
      <c r="T47" s="224"/>
      <c r="U47" s="224"/>
      <c r="V47" s="224"/>
      <c r="W47" s="224"/>
      <c r="X47" s="224"/>
      <c r="Y47" s="224"/>
      <c r="Z47" s="224"/>
      <c r="AA47" s="224"/>
      <c r="AB47" s="224"/>
      <c r="AC47" s="224"/>
      <c r="AD47" s="224"/>
      <c r="AE47" s="224"/>
      <c r="AF47" s="224"/>
      <c r="AG47" s="224"/>
      <c r="AH47" s="75"/>
      <c r="AI47" s="75"/>
      <c r="AJ47" s="75"/>
      <c r="AK47" s="75"/>
      <c r="AL47" s="75"/>
      <c r="AM47" s="75"/>
    </row>
    <row r="48" spans="1:39" ht="15.75" thickBot="1" x14ac:dyDescent="0.3">
      <c r="A48" s="146" t="str">
        <f>'1. Detailed Budget POA'!A223</f>
        <v>Financial Specialists</v>
      </c>
      <c r="B48" s="252">
        <f>'1. Detailed Budget POA'!B223</f>
        <v>221760</v>
      </c>
      <c r="C48" s="254">
        <v>20</v>
      </c>
      <c r="D48" s="251">
        <f t="shared" si="13"/>
        <v>44352</v>
      </c>
      <c r="E48" s="254">
        <v>20</v>
      </c>
      <c r="F48" s="251">
        <f t="shared" si="14"/>
        <v>44352</v>
      </c>
      <c r="G48" s="254">
        <v>20</v>
      </c>
      <c r="H48" s="251">
        <f t="shared" si="15"/>
        <v>44352</v>
      </c>
      <c r="I48" s="255">
        <v>20</v>
      </c>
      <c r="J48" s="251">
        <f t="shared" si="16"/>
        <v>44352</v>
      </c>
      <c r="K48" s="255">
        <v>20</v>
      </c>
      <c r="L48" s="251">
        <f t="shared" si="17"/>
        <v>44352</v>
      </c>
      <c r="M48" s="75">
        <f t="shared" si="5"/>
        <v>100</v>
      </c>
      <c r="N48" s="209"/>
      <c r="O48" s="210"/>
      <c r="P48" s="210"/>
      <c r="Q48" s="210"/>
      <c r="R48" s="210"/>
      <c r="S48" s="210"/>
      <c r="T48" s="210"/>
      <c r="U48" s="210"/>
      <c r="V48" s="210"/>
      <c r="W48" s="210"/>
      <c r="X48" s="210"/>
      <c r="Y48" s="210"/>
      <c r="Z48" s="210"/>
      <c r="AA48" s="210"/>
      <c r="AB48" s="210"/>
      <c r="AC48" s="210"/>
      <c r="AD48" s="210"/>
      <c r="AE48" s="210"/>
      <c r="AF48" s="210"/>
      <c r="AG48" s="211"/>
      <c r="AH48" s="75"/>
      <c r="AI48" s="75"/>
      <c r="AJ48" s="75"/>
      <c r="AK48" s="75"/>
      <c r="AL48" s="75"/>
      <c r="AM48" s="75"/>
    </row>
    <row r="49" spans="1:39" ht="15.75" thickBot="1" x14ac:dyDescent="0.3">
      <c r="A49" s="146" t="str">
        <f>'1. Detailed Budget POA'!A224</f>
        <v>Procurement Specialists</v>
      </c>
      <c r="B49" s="252">
        <f>'1. Detailed Budget POA'!B224</f>
        <v>221760</v>
      </c>
      <c r="C49" s="254">
        <v>20</v>
      </c>
      <c r="D49" s="251">
        <f t="shared" si="13"/>
        <v>44352</v>
      </c>
      <c r="E49" s="254">
        <v>20</v>
      </c>
      <c r="F49" s="251">
        <f t="shared" si="14"/>
        <v>44352</v>
      </c>
      <c r="G49" s="254">
        <v>20</v>
      </c>
      <c r="H49" s="251">
        <f t="shared" si="15"/>
        <v>44352</v>
      </c>
      <c r="I49" s="255">
        <v>20</v>
      </c>
      <c r="J49" s="251">
        <f t="shared" si="16"/>
        <v>44352</v>
      </c>
      <c r="K49" s="255">
        <v>20</v>
      </c>
      <c r="L49" s="251">
        <f t="shared" si="17"/>
        <v>44352</v>
      </c>
      <c r="M49" s="75">
        <f t="shared" si="5"/>
        <v>100</v>
      </c>
      <c r="N49" s="221"/>
      <c r="O49" s="222"/>
      <c r="P49" s="222"/>
      <c r="Q49" s="222"/>
      <c r="R49" s="222"/>
      <c r="S49" s="222"/>
      <c r="T49" s="222"/>
      <c r="U49" s="222"/>
      <c r="V49" s="222"/>
      <c r="W49" s="222"/>
      <c r="X49" s="222"/>
      <c r="Y49" s="222"/>
      <c r="Z49" s="222"/>
      <c r="AA49" s="222"/>
      <c r="AB49" s="222"/>
      <c r="AC49" s="222"/>
      <c r="AD49" s="222"/>
      <c r="AE49" s="222"/>
      <c r="AF49" s="222"/>
      <c r="AG49" s="223"/>
      <c r="AH49" s="75"/>
      <c r="AI49" s="75"/>
      <c r="AJ49" s="75"/>
      <c r="AK49" s="75"/>
      <c r="AL49" s="75"/>
      <c r="AM49" s="75"/>
    </row>
    <row r="50" spans="1:39" ht="15.75" thickBot="1" x14ac:dyDescent="0.3">
      <c r="A50" s="146" t="str">
        <f>'1. Detailed Budget POA'!A225</f>
        <v>Monitoring Specialists</v>
      </c>
      <c r="B50" s="252">
        <f>'1. Detailed Budget POA'!B225</f>
        <v>221760</v>
      </c>
      <c r="C50" s="254">
        <v>20</v>
      </c>
      <c r="D50" s="251">
        <f t="shared" si="13"/>
        <v>44352</v>
      </c>
      <c r="E50" s="254">
        <v>20</v>
      </c>
      <c r="F50" s="251">
        <f t="shared" si="14"/>
        <v>44352</v>
      </c>
      <c r="G50" s="254">
        <v>20</v>
      </c>
      <c r="H50" s="251">
        <f t="shared" si="15"/>
        <v>44352</v>
      </c>
      <c r="I50" s="255">
        <v>20</v>
      </c>
      <c r="J50" s="251">
        <f t="shared" si="16"/>
        <v>44352</v>
      </c>
      <c r="K50" s="255">
        <v>20</v>
      </c>
      <c r="L50" s="251">
        <f t="shared" si="17"/>
        <v>44352</v>
      </c>
      <c r="M50" s="75">
        <f t="shared" si="5"/>
        <v>100</v>
      </c>
      <c r="N50" s="221"/>
      <c r="O50" s="222"/>
      <c r="P50" s="222"/>
      <c r="Q50" s="222"/>
      <c r="R50" s="222"/>
      <c r="S50" s="222"/>
      <c r="T50" s="222"/>
      <c r="U50" s="222"/>
      <c r="V50" s="222"/>
      <c r="W50" s="222"/>
      <c r="X50" s="222"/>
      <c r="Y50" s="222"/>
      <c r="Z50" s="222"/>
      <c r="AA50" s="222"/>
      <c r="AB50" s="222"/>
      <c r="AC50" s="222"/>
      <c r="AD50" s="222"/>
      <c r="AE50" s="222"/>
      <c r="AF50" s="222"/>
      <c r="AG50" s="223"/>
      <c r="AH50" s="75"/>
      <c r="AI50" s="75"/>
      <c r="AJ50" s="75"/>
      <c r="AK50" s="75"/>
      <c r="AL50" s="75"/>
      <c r="AM50" s="75"/>
    </row>
    <row r="51" spans="1:39" ht="15.75" thickBot="1" x14ac:dyDescent="0.3">
      <c r="A51" s="146" t="str">
        <f>'1. Detailed Budget POA'!A226</f>
        <v>Evaluation</v>
      </c>
      <c r="B51" s="252">
        <f>'1. Detailed Budget POA'!B226</f>
        <v>170000</v>
      </c>
      <c r="C51" s="254">
        <v>0</v>
      </c>
      <c r="D51" s="251">
        <f t="shared" si="13"/>
        <v>0</v>
      </c>
      <c r="E51" s="254">
        <v>0</v>
      </c>
      <c r="F51" s="251">
        <f t="shared" si="13"/>
        <v>0</v>
      </c>
      <c r="G51" s="254">
        <v>0</v>
      </c>
      <c r="H51" s="251">
        <f t="shared" si="13"/>
        <v>0</v>
      </c>
      <c r="I51" s="255">
        <v>0</v>
      </c>
      <c r="J51" s="251">
        <f t="shared" si="13"/>
        <v>0</v>
      </c>
      <c r="K51" s="255">
        <v>100</v>
      </c>
      <c r="L51" s="251">
        <f t="shared" si="13"/>
        <v>170000</v>
      </c>
      <c r="M51" s="75">
        <f t="shared" si="5"/>
        <v>100</v>
      </c>
      <c r="N51" s="207"/>
      <c r="O51" s="208"/>
      <c r="P51" s="208"/>
      <c r="Q51" s="208"/>
      <c r="R51" s="208"/>
      <c r="S51" s="208"/>
      <c r="T51" s="208"/>
      <c r="U51" s="208"/>
      <c r="V51" s="208"/>
      <c r="W51" s="208"/>
      <c r="X51" s="208"/>
      <c r="Y51" s="208"/>
      <c r="Z51" s="208"/>
      <c r="AA51" s="208"/>
      <c r="AB51" s="208"/>
      <c r="AC51" s="208"/>
      <c r="AD51" s="208"/>
      <c r="AE51" s="208"/>
      <c r="AF51" s="232"/>
      <c r="AG51" s="233"/>
      <c r="AH51" s="75"/>
      <c r="AI51" s="75"/>
      <c r="AJ51" s="75"/>
      <c r="AK51" s="75"/>
      <c r="AL51" s="75"/>
      <c r="AM51" s="75"/>
    </row>
    <row r="52" spans="1:39" x14ac:dyDescent="0.25">
      <c r="A52" s="146" t="str">
        <f>'1. Detailed Budget POA'!A230</f>
        <v>Audit and Evaluation</v>
      </c>
      <c r="B52" s="252">
        <f>'1. Detailed Budget POA'!B230</f>
        <v>220008</v>
      </c>
      <c r="C52" s="254">
        <v>20</v>
      </c>
      <c r="D52" s="251">
        <f t="shared" si="13"/>
        <v>44001.599999999999</v>
      </c>
      <c r="E52" s="254">
        <v>20</v>
      </c>
      <c r="F52" s="251">
        <f t="shared" si="14"/>
        <v>44001.599999999999</v>
      </c>
      <c r="G52" s="254">
        <v>20</v>
      </c>
      <c r="H52" s="251">
        <f t="shared" si="15"/>
        <v>44001.599999999999</v>
      </c>
      <c r="I52" s="255">
        <v>20</v>
      </c>
      <c r="J52" s="251">
        <f t="shared" si="16"/>
        <v>44001.599999999999</v>
      </c>
      <c r="K52" s="255">
        <v>20</v>
      </c>
      <c r="L52" s="251">
        <f t="shared" si="17"/>
        <v>44001.599999999999</v>
      </c>
      <c r="M52" s="75">
        <f t="shared" si="5"/>
        <v>100</v>
      </c>
      <c r="N52" s="213"/>
      <c r="O52" s="214"/>
      <c r="P52" s="214"/>
      <c r="Q52" s="214"/>
      <c r="R52" s="214"/>
      <c r="S52" s="214"/>
      <c r="T52" s="214"/>
      <c r="U52" s="214"/>
      <c r="V52" s="214"/>
      <c r="W52" s="214"/>
      <c r="X52" s="214"/>
      <c r="Y52" s="214"/>
      <c r="Z52" s="214"/>
      <c r="AA52" s="214"/>
      <c r="AB52" s="214"/>
      <c r="AC52" s="214"/>
      <c r="AD52" s="214"/>
      <c r="AE52" s="214"/>
      <c r="AF52" s="214"/>
      <c r="AG52" s="215"/>
      <c r="AH52" s="75"/>
      <c r="AI52" s="75"/>
      <c r="AJ52" s="75"/>
      <c r="AK52" s="75"/>
      <c r="AL52" s="75"/>
      <c r="AM52" s="75"/>
    </row>
    <row r="53" spans="1:39" ht="15.75" thickBot="1" x14ac:dyDescent="0.3">
      <c r="A53" s="146" t="str">
        <f>'1. Detailed Budget POA'!A231</f>
        <v>International Consultancies to support the execution, including TI</v>
      </c>
      <c r="B53" s="244">
        <f>'1. Detailed Budget POA'!B231</f>
        <v>692076</v>
      </c>
      <c r="C53" s="256">
        <v>20</v>
      </c>
      <c r="D53" s="237">
        <f t="shared" si="13"/>
        <v>138415.20000000001</v>
      </c>
      <c r="E53" s="256">
        <v>20</v>
      </c>
      <c r="F53" s="237">
        <f t="shared" si="14"/>
        <v>138415.20000000001</v>
      </c>
      <c r="G53" s="256">
        <v>20</v>
      </c>
      <c r="H53" s="237">
        <f t="shared" si="15"/>
        <v>138415.20000000001</v>
      </c>
      <c r="I53" s="256">
        <v>20</v>
      </c>
      <c r="J53" s="237">
        <f t="shared" si="16"/>
        <v>138415.20000000001</v>
      </c>
      <c r="K53" s="256">
        <v>20</v>
      </c>
      <c r="L53" s="237">
        <f t="shared" si="17"/>
        <v>138415.20000000001</v>
      </c>
      <c r="M53" s="75">
        <f t="shared" si="5"/>
        <v>100</v>
      </c>
      <c r="N53" s="224"/>
      <c r="O53" s="224"/>
      <c r="P53" s="224"/>
      <c r="Q53" s="224"/>
      <c r="R53" s="224"/>
      <c r="S53" s="224"/>
      <c r="T53" s="224"/>
      <c r="U53" s="224"/>
      <c r="V53" s="224"/>
      <c r="W53" s="224"/>
      <c r="X53" s="224"/>
      <c r="Y53" s="224"/>
      <c r="Z53" s="224"/>
      <c r="AA53" s="225"/>
      <c r="AB53" s="218"/>
      <c r="AC53" s="218"/>
      <c r="AD53" s="218"/>
      <c r="AE53" s="218"/>
      <c r="AF53" s="218"/>
      <c r="AG53" s="226"/>
      <c r="AH53" s="75"/>
      <c r="AI53" s="75"/>
      <c r="AJ53" s="75"/>
      <c r="AK53" s="75"/>
      <c r="AL53" s="75"/>
      <c r="AM53" s="75"/>
    </row>
    <row r="54" spans="1:39" ht="16.5" thickBot="1" x14ac:dyDescent="0.3">
      <c r="A54" s="147" t="str">
        <f>'1. Detailed Budget POA'!A233</f>
        <v>Contingency</v>
      </c>
      <c r="B54" s="151">
        <f>'1. Detailed Budget POA'!B233</f>
        <v>1910247.6000000015</v>
      </c>
      <c r="C54" s="152">
        <v>0</v>
      </c>
      <c r="D54" s="153">
        <f t="shared" ref="D54" si="23">$B54*C54/100</f>
        <v>0</v>
      </c>
      <c r="E54" s="152">
        <v>0</v>
      </c>
      <c r="F54" s="153">
        <f t="shared" ref="F54" si="24">$B54*E54/100</f>
        <v>0</v>
      </c>
      <c r="G54" s="152">
        <v>0</v>
      </c>
      <c r="H54" s="153">
        <f t="shared" ref="H54" si="25">$B54*G54/100</f>
        <v>0</v>
      </c>
      <c r="I54" s="154">
        <v>40</v>
      </c>
      <c r="J54" s="153">
        <f t="shared" ref="J54" si="26">$B54*I54/100</f>
        <v>764099.04000000062</v>
      </c>
      <c r="K54" s="154">
        <v>60</v>
      </c>
      <c r="L54" s="248">
        <f t="shared" ref="L54" si="27">$B54*K54/100</f>
        <v>1146148.560000001</v>
      </c>
      <c r="M54" s="362"/>
      <c r="N54" s="363"/>
      <c r="O54" s="363"/>
      <c r="P54" s="363"/>
      <c r="Q54" s="363"/>
      <c r="R54" s="363"/>
      <c r="S54" s="363"/>
      <c r="T54" s="363"/>
      <c r="U54" s="363"/>
      <c r="V54" s="363"/>
      <c r="W54" s="363"/>
      <c r="X54" s="363"/>
      <c r="Y54" s="363"/>
      <c r="Z54" s="363"/>
      <c r="AA54" s="363"/>
      <c r="AB54" s="363"/>
      <c r="AC54" s="363"/>
      <c r="AD54" s="363"/>
      <c r="AE54" s="363"/>
      <c r="AF54" s="363"/>
      <c r="AG54" s="364"/>
      <c r="AH54" s="75"/>
      <c r="AI54" s="75"/>
      <c r="AJ54" s="75"/>
      <c r="AK54" s="75"/>
      <c r="AL54" s="75"/>
      <c r="AM54" s="75"/>
    </row>
    <row r="55" spans="1:39" x14ac:dyDescent="0.25">
      <c r="B55" s="75"/>
      <c r="C55" s="81"/>
      <c r="D55" s="75"/>
      <c r="E55" s="81"/>
      <c r="F55" s="75"/>
      <c r="G55" s="81"/>
      <c r="H55" s="75"/>
      <c r="I55" s="81"/>
      <c r="J55" s="75"/>
      <c r="K55" s="81"/>
      <c r="L55" s="75"/>
      <c r="M55" s="75"/>
      <c r="N55" s="75"/>
      <c r="O55" s="75"/>
      <c r="P55" s="75"/>
      <c r="Q55" s="75"/>
      <c r="R55" s="75"/>
      <c r="S55" s="75"/>
      <c r="T55" s="75"/>
      <c r="U55" s="75"/>
      <c r="V55" s="75"/>
      <c r="W55" s="75"/>
      <c r="X55" s="75"/>
      <c r="Y55" s="75"/>
      <c r="Z55" s="75"/>
      <c r="AA55" s="75"/>
      <c r="AB55" s="75"/>
      <c r="AC55" s="75"/>
      <c r="AD55" s="75"/>
      <c r="AE55" s="75"/>
      <c r="AF55" s="75"/>
      <c r="AG55" s="75"/>
      <c r="AH55" s="75"/>
      <c r="AI55" s="75"/>
      <c r="AJ55" s="75"/>
      <c r="AK55" s="75"/>
      <c r="AL55" s="75"/>
      <c r="AM55" s="75"/>
    </row>
  </sheetData>
  <mergeCells count="34">
    <mergeCell ref="A23:A24"/>
    <mergeCell ref="A3:A4"/>
    <mergeCell ref="A44:A45"/>
    <mergeCell ref="A39:A40"/>
    <mergeCell ref="M2:M3"/>
    <mergeCell ref="N2:AG2"/>
    <mergeCell ref="N3:Q4"/>
    <mergeCell ref="R3:U4"/>
    <mergeCell ref="V3:Y4"/>
    <mergeCell ref="Z3:AC4"/>
    <mergeCell ref="AD3:AG4"/>
    <mergeCell ref="Z39:AC40"/>
    <mergeCell ref="AD39:AG40"/>
    <mergeCell ref="M23:M24"/>
    <mergeCell ref="N23:Q24"/>
    <mergeCell ref="R23:U24"/>
    <mergeCell ref="V23:Y24"/>
    <mergeCell ref="Z23:AC24"/>
    <mergeCell ref="AD44:AG45"/>
    <mergeCell ref="M54:AG54"/>
    <mergeCell ref="A1:AG1"/>
    <mergeCell ref="A22:AG22"/>
    <mergeCell ref="A38:AG38"/>
    <mergeCell ref="A43:AG43"/>
    <mergeCell ref="M44:M45"/>
    <mergeCell ref="N44:Q45"/>
    <mergeCell ref="R44:U45"/>
    <mergeCell ref="V44:Y45"/>
    <mergeCell ref="Z44:AC45"/>
    <mergeCell ref="AD23:AG24"/>
    <mergeCell ref="M39:M40"/>
    <mergeCell ref="N39:Q40"/>
    <mergeCell ref="R39:U40"/>
    <mergeCell ref="V39:Y40"/>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146"/>
  <sheetViews>
    <sheetView showGridLines="0" topLeftCell="A117" zoomScale="85" zoomScaleNormal="85" zoomScaleSheetLayoutView="80" workbookViewId="0">
      <selection activeCell="B9" sqref="B9"/>
    </sheetView>
  </sheetViews>
  <sheetFormatPr defaultColWidth="9" defaultRowHeight="15.75" x14ac:dyDescent="0.25"/>
  <cols>
    <col min="1" max="1" width="8.125" style="16" customWidth="1"/>
    <col min="2" max="2" width="77.875" style="20" customWidth="1"/>
    <col min="3" max="3" width="11.125" style="21" customWidth="1"/>
    <col min="4" max="4" width="11.125" style="20" customWidth="1"/>
    <col min="5" max="5" width="11.875" style="20" bestFit="1" customWidth="1"/>
    <col min="6" max="6" width="17.125" style="20" hidden="1" customWidth="1"/>
    <col min="7" max="7" width="16.625" style="20" hidden="1" customWidth="1"/>
    <col min="8" max="8" width="11.875" style="20" customWidth="1"/>
    <col min="9" max="9" width="10.625" style="21" bestFit="1" customWidth="1"/>
    <col min="10" max="10" width="19.875" style="21" customWidth="1"/>
    <col min="11" max="11" width="12.625" style="20" bestFit="1" customWidth="1"/>
    <col min="12" max="12" width="13.125" style="20" bestFit="1" customWidth="1"/>
    <col min="13" max="13" width="81.375" style="20" customWidth="1"/>
    <col min="14" max="37" width="9" style="56"/>
    <col min="38" max="16384" width="9" style="20"/>
  </cols>
  <sheetData>
    <row r="1" spans="1:46" ht="51.6" customHeight="1" x14ac:dyDescent="0.35">
      <c r="A1" s="393" t="str">
        <f>'1. Detailed Budget POA'!C1</f>
        <v>Fiscal Strengthening to Support Economic Growth (FISEG) Program
SU-L1050</v>
      </c>
      <c r="B1" s="394"/>
      <c r="C1" s="394"/>
      <c r="D1" s="394"/>
      <c r="E1" s="394"/>
      <c r="F1" s="394"/>
      <c r="G1" s="394"/>
      <c r="H1" s="394"/>
      <c r="I1" s="394"/>
      <c r="J1" s="394"/>
      <c r="K1" s="394"/>
      <c r="L1" s="394"/>
      <c r="M1" s="394"/>
    </row>
    <row r="2" spans="1:46" ht="21" x14ac:dyDescent="0.25">
      <c r="A2" s="395" t="s">
        <v>352</v>
      </c>
      <c r="B2" s="395"/>
      <c r="C2" s="395"/>
      <c r="D2" s="395"/>
      <c r="E2" s="395"/>
      <c r="F2" s="395"/>
      <c r="G2" s="395"/>
      <c r="H2" s="395"/>
      <c r="I2" s="395"/>
      <c r="J2" s="395"/>
      <c r="K2" s="395"/>
      <c r="L2" s="395"/>
      <c r="M2" s="395"/>
    </row>
    <row r="3" spans="1:46" x14ac:dyDescent="0.25">
      <c r="A3" s="273"/>
      <c r="B3" s="204"/>
      <c r="C3" s="205"/>
      <c r="D3" s="204"/>
      <c r="E3" s="204"/>
      <c r="F3" s="204"/>
      <c r="G3" s="204"/>
      <c r="H3" s="204"/>
      <c r="I3" s="205"/>
      <c r="J3" s="205"/>
      <c r="K3" s="396" t="s">
        <v>15</v>
      </c>
      <c r="L3" s="396"/>
      <c r="M3" s="204"/>
    </row>
    <row r="4" spans="1:46" s="4" customFormat="1" ht="101.25" customHeight="1" x14ac:dyDescent="0.25">
      <c r="A4" s="282" t="s">
        <v>1</v>
      </c>
      <c r="B4" s="40" t="s">
        <v>6</v>
      </c>
      <c r="C4" s="40" t="s">
        <v>7</v>
      </c>
      <c r="D4" s="40" t="s">
        <v>8</v>
      </c>
      <c r="E4" s="40" t="s">
        <v>9</v>
      </c>
      <c r="F4" s="40" t="s">
        <v>10</v>
      </c>
      <c r="G4" s="40" t="s">
        <v>11</v>
      </c>
      <c r="H4" s="40" t="s">
        <v>343</v>
      </c>
      <c r="I4" s="40" t="s">
        <v>12</v>
      </c>
      <c r="J4" s="40" t="s">
        <v>29</v>
      </c>
      <c r="K4" s="40" t="s">
        <v>13</v>
      </c>
      <c r="L4" s="40" t="s">
        <v>14</v>
      </c>
      <c r="M4" s="40" t="s">
        <v>20</v>
      </c>
      <c r="N4" s="39"/>
      <c r="O4" s="39"/>
      <c r="P4" s="39"/>
      <c r="Q4" s="39"/>
      <c r="R4" s="39"/>
      <c r="S4" s="39"/>
      <c r="T4" s="39"/>
      <c r="U4" s="39"/>
      <c r="V4" s="39"/>
      <c r="W4" s="39"/>
      <c r="X4" s="39"/>
      <c r="Y4" s="39"/>
      <c r="Z4" s="39"/>
      <c r="AA4" s="39"/>
      <c r="AB4" s="39"/>
      <c r="AC4" s="39"/>
      <c r="AD4" s="39"/>
      <c r="AE4" s="39"/>
      <c r="AF4" s="39"/>
      <c r="AG4" s="39"/>
      <c r="AH4" s="39"/>
      <c r="AI4" s="39"/>
      <c r="AJ4" s="39"/>
      <c r="AK4" s="39"/>
    </row>
    <row r="5" spans="1:46" s="4" customFormat="1" ht="23.25" customHeight="1" x14ac:dyDescent="0.25">
      <c r="A5" s="392" t="s">
        <v>16</v>
      </c>
      <c r="B5" s="392"/>
      <c r="C5" s="392"/>
      <c r="D5" s="392"/>
      <c r="E5" s="392"/>
      <c r="F5" s="392"/>
      <c r="G5" s="392"/>
      <c r="H5" s="392"/>
      <c r="I5" s="392"/>
      <c r="J5" s="392"/>
      <c r="K5" s="392"/>
      <c r="L5" s="392"/>
      <c r="M5" s="392"/>
      <c r="N5" s="39"/>
      <c r="O5" s="39"/>
      <c r="P5" s="39"/>
      <c r="Q5" s="39"/>
      <c r="R5" s="39"/>
      <c r="S5" s="39"/>
      <c r="T5" s="39"/>
      <c r="U5" s="39"/>
      <c r="V5" s="39"/>
      <c r="W5" s="39"/>
      <c r="X5" s="39"/>
      <c r="Y5" s="39"/>
      <c r="Z5" s="39"/>
      <c r="AA5" s="39"/>
      <c r="AB5" s="39"/>
      <c r="AC5" s="39"/>
      <c r="AD5" s="39"/>
      <c r="AE5" s="39"/>
      <c r="AF5" s="39"/>
      <c r="AG5" s="39"/>
      <c r="AH5" s="39"/>
      <c r="AI5" s="39"/>
      <c r="AJ5" s="39"/>
      <c r="AK5" s="39"/>
    </row>
    <row r="6" spans="1:46" s="2" customFormat="1" ht="30" x14ac:dyDescent="0.25">
      <c r="A6" s="270">
        <v>1</v>
      </c>
      <c r="B6" s="271" t="str">
        <f>'1. Detailed Budget POA'!C7</f>
        <v>Technical assistance to mentor Office  of Revenue Authority (ORA) management in managing change and in project management.  Supplement this with formal training in these topics.</v>
      </c>
      <c r="C6" s="51" t="s">
        <v>3</v>
      </c>
      <c r="D6" s="272" t="s">
        <v>0</v>
      </c>
      <c r="E6" s="17">
        <f>'1. Detailed Budget POA'!G7</f>
        <v>198000</v>
      </c>
      <c r="F6" s="17"/>
      <c r="G6" s="17">
        <f>E6</f>
        <v>198000</v>
      </c>
      <c r="H6" s="268" t="s">
        <v>318</v>
      </c>
      <c r="I6" s="52" t="s">
        <v>262</v>
      </c>
      <c r="J6" s="52" t="s">
        <v>4</v>
      </c>
      <c r="K6" s="268" t="s">
        <v>67</v>
      </c>
      <c r="L6" s="268" t="s">
        <v>316</v>
      </c>
      <c r="M6" s="271"/>
      <c r="N6" s="37"/>
      <c r="O6" s="37"/>
      <c r="P6" s="37"/>
      <c r="Q6" s="37"/>
      <c r="R6" s="37"/>
      <c r="S6" s="37"/>
      <c r="T6" s="37"/>
      <c r="U6" s="37"/>
      <c r="V6" s="37"/>
      <c r="W6" s="37"/>
      <c r="X6" s="37"/>
      <c r="Y6" s="37"/>
      <c r="Z6" s="37"/>
      <c r="AA6" s="37"/>
      <c r="AB6" s="37"/>
      <c r="AC6" s="37"/>
      <c r="AD6" s="37"/>
      <c r="AE6" s="37"/>
      <c r="AF6" s="37"/>
      <c r="AG6" s="37"/>
      <c r="AH6" s="37"/>
      <c r="AI6" s="37"/>
      <c r="AJ6" s="37"/>
      <c r="AK6" s="37"/>
    </row>
    <row r="7" spans="1:46" s="2" customFormat="1" x14ac:dyDescent="0.25">
      <c r="A7" s="270">
        <f>A6+1</f>
        <v>2</v>
      </c>
      <c r="B7" s="271" t="str">
        <f>'1. Detailed Budget POA'!C12</f>
        <v xml:space="preserve"> Hiring of local consultants with expertise to support service operations</v>
      </c>
      <c r="C7" s="51" t="s">
        <v>3</v>
      </c>
      <c r="D7" s="51" t="s">
        <v>0</v>
      </c>
      <c r="E7" s="17">
        <f>'1. Detailed Budget POA'!G12</f>
        <v>277200</v>
      </c>
      <c r="F7" s="17"/>
      <c r="G7" s="17">
        <f t="shared" ref="G7:G55" si="0">E7</f>
        <v>277200</v>
      </c>
      <c r="H7" s="268" t="s">
        <v>319</v>
      </c>
      <c r="I7" s="52" t="s">
        <v>262</v>
      </c>
      <c r="J7" s="52" t="s">
        <v>4</v>
      </c>
      <c r="K7" s="268" t="s">
        <v>67</v>
      </c>
      <c r="L7" s="268" t="s">
        <v>316</v>
      </c>
      <c r="M7" s="271"/>
      <c r="N7" s="37"/>
      <c r="O7" s="37"/>
      <c r="P7" s="37"/>
      <c r="Q7" s="37"/>
      <c r="R7" s="37"/>
      <c r="S7" s="37"/>
      <c r="T7" s="37"/>
      <c r="U7" s="37"/>
      <c r="V7" s="37"/>
      <c r="W7" s="37"/>
      <c r="X7" s="37"/>
      <c r="Y7" s="37"/>
      <c r="Z7" s="37"/>
      <c r="AA7" s="37"/>
      <c r="AB7" s="37"/>
      <c r="AC7" s="37"/>
      <c r="AD7" s="37"/>
      <c r="AE7" s="37"/>
      <c r="AF7" s="37"/>
      <c r="AG7" s="37"/>
      <c r="AH7" s="37"/>
      <c r="AI7" s="37"/>
      <c r="AJ7" s="37"/>
      <c r="AK7" s="37"/>
    </row>
    <row r="8" spans="1:46" s="2" customFormat="1" x14ac:dyDescent="0.25">
      <c r="A8" s="270">
        <f t="shared" ref="A8:A54" si="1">A7+1</f>
        <v>3</v>
      </c>
      <c r="B8" s="271" t="str">
        <f>'1. Detailed Budget POA'!C20</f>
        <v xml:space="preserve"> Hiring of local consultants with expertise to support tax return operations.</v>
      </c>
      <c r="C8" s="51" t="s">
        <v>3</v>
      </c>
      <c r="D8" s="51" t="s">
        <v>0</v>
      </c>
      <c r="E8" s="17">
        <f>'1. Detailed Budget POA'!G20</f>
        <v>369600</v>
      </c>
      <c r="F8" s="17"/>
      <c r="G8" s="17">
        <f t="shared" si="0"/>
        <v>369600</v>
      </c>
      <c r="H8" s="268" t="s">
        <v>320</v>
      </c>
      <c r="I8" s="52" t="s">
        <v>262</v>
      </c>
      <c r="J8" s="52" t="s">
        <v>4</v>
      </c>
      <c r="K8" s="268" t="s">
        <v>67</v>
      </c>
      <c r="L8" s="268" t="s">
        <v>315</v>
      </c>
      <c r="M8" s="271"/>
      <c r="N8" s="37"/>
      <c r="O8" s="37"/>
      <c r="P8" s="37"/>
      <c r="Q8" s="37"/>
      <c r="R8" s="37"/>
      <c r="S8" s="37"/>
      <c r="T8" s="37"/>
      <c r="U8" s="37"/>
      <c r="V8" s="37"/>
      <c r="W8" s="37"/>
      <c r="X8" s="37"/>
      <c r="Y8" s="37"/>
      <c r="Z8" s="37"/>
      <c r="AA8" s="37"/>
      <c r="AB8" s="37"/>
      <c r="AC8" s="37"/>
      <c r="AD8" s="37"/>
      <c r="AE8" s="37"/>
      <c r="AF8" s="37"/>
      <c r="AG8" s="37"/>
      <c r="AH8" s="37"/>
      <c r="AI8" s="37"/>
      <c r="AJ8" s="37"/>
      <c r="AK8" s="37"/>
      <c r="AL8" s="37"/>
      <c r="AM8" s="37"/>
      <c r="AN8" s="37"/>
      <c r="AO8" s="37"/>
      <c r="AP8" s="37"/>
      <c r="AQ8" s="37"/>
      <c r="AR8" s="37"/>
      <c r="AS8" s="37"/>
      <c r="AT8" s="37"/>
    </row>
    <row r="9" spans="1:46" s="2" customFormat="1" ht="60" x14ac:dyDescent="0.25">
      <c r="A9" s="270">
        <f t="shared" si="1"/>
        <v>4</v>
      </c>
      <c r="B9" s="271" t="str">
        <f>'1. Detailed Budget POA'!C45</f>
        <v>Technical support to undertake the analysis of the costs associated with the operations of Customs; identify the method(s) that could be used to implement the Customs fee that are compliant with WCO/WTO requirements; assist in identifying modifications to procedures and processes (including ASYCUDA) to implement the fee.</v>
      </c>
      <c r="C9" s="51" t="s">
        <v>3</v>
      </c>
      <c r="D9" s="51" t="s">
        <v>0</v>
      </c>
      <c r="E9" s="17">
        <f>'1. Detailed Budget POA'!G45</f>
        <v>82500</v>
      </c>
      <c r="F9" s="17"/>
      <c r="G9" s="17">
        <f t="shared" si="0"/>
        <v>82500</v>
      </c>
      <c r="H9" s="268" t="s">
        <v>321</v>
      </c>
      <c r="I9" s="52" t="s">
        <v>262</v>
      </c>
      <c r="J9" s="52" t="s">
        <v>4</v>
      </c>
      <c r="K9" s="268" t="s">
        <v>68</v>
      </c>
      <c r="L9" s="268" t="s">
        <v>353</v>
      </c>
      <c r="M9" s="271"/>
      <c r="N9" s="37"/>
      <c r="O9" s="37"/>
      <c r="P9" s="37"/>
      <c r="Q9" s="37"/>
      <c r="R9" s="37"/>
      <c r="S9" s="37"/>
      <c r="T9" s="37"/>
      <c r="U9" s="37"/>
      <c r="V9" s="37"/>
      <c r="W9" s="37"/>
      <c r="X9" s="37"/>
      <c r="Y9" s="37"/>
      <c r="Z9" s="37"/>
      <c r="AA9" s="37"/>
      <c r="AB9" s="37"/>
      <c r="AC9" s="37"/>
      <c r="AD9" s="37"/>
      <c r="AE9" s="37"/>
      <c r="AF9" s="37"/>
      <c r="AG9" s="37"/>
      <c r="AH9" s="37"/>
      <c r="AI9" s="37"/>
      <c r="AJ9" s="37"/>
      <c r="AK9" s="37"/>
      <c r="AL9" s="37"/>
      <c r="AM9" s="37"/>
      <c r="AN9" s="37"/>
      <c r="AO9" s="37"/>
      <c r="AP9" s="37"/>
      <c r="AQ9" s="37"/>
      <c r="AR9" s="37"/>
      <c r="AS9" s="37"/>
      <c r="AT9" s="37"/>
    </row>
    <row r="10" spans="1:46" s="2" customFormat="1" ht="30" x14ac:dyDescent="0.25">
      <c r="A10" s="270">
        <f t="shared" si="1"/>
        <v>5</v>
      </c>
      <c r="B10" s="271" t="str">
        <f>'1. Detailed Budget POA'!C47</f>
        <v>Uplift Customs public information including establishing a web site to provide more information about importer and exporter obligations and electronic linkages to Customs</v>
      </c>
      <c r="C10" s="51" t="s">
        <v>3</v>
      </c>
      <c r="D10" s="51" t="s">
        <v>0</v>
      </c>
      <c r="E10" s="17">
        <f>'1. Detailed Budget POA'!G47</f>
        <v>12320</v>
      </c>
      <c r="F10" s="17"/>
      <c r="G10" s="17">
        <f t="shared" si="0"/>
        <v>12320</v>
      </c>
      <c r="H10" s="268" t="s">
        <v>321</v>
      </c>
      <c r="I10" s="52" t="s">
        <v>262</v>
      </c>
      <c r="J10" s="52" t="s">
        <v>4</v>
      </c>
      <c r="K10" s="268" t="s">
        <v>67</v>
      </c>
      <c r="L10" s="268" t="s">
        <v>313</v>
      </c>
      <c r="M10" s="271"/>
      <c r="N10" s="37"/>
      <c r="O10" s="37"/>
      <c r="P10" s="37"/>
      <c r="Q10" s="37"/>
      <c r="R10" s="37"/>
      <c r="S10" s="37"/>
      <c r="T10" s="37"/>
      <c r="U10" s="37"/>
      <c r="V10" s="37"/>
      <c r="W10" s="37"/>
      <c r="X10" s="37"/>
      <c r="Y10" s="37"/>
      <c r="Z10" s="37"/>
      <c r="AA10" s="37"/>
      <c r="AB10" s="37"/>
      <c r="AC10" s="37"/>
      <c r="AD10" s="37"/>
      <c r="AE10" s="37"/>
      <c r="AF10" s="37"/>
      <c r="AG10" s="37"/>
      <c r="AH10" s="37"/>
      <c r="AI10" s="37"/>
      <c r="AJ10" s="37"/>
      <c r="AK10" s="37"/>
      <c r="AL10" s="37"/>
      <c r="AM10" s="37"/>
      <c r="AN10" s="37"/>
      <c r="AO10" s="37"/>
      <c r="AP10" s="37"/>
      <c r="AQ10" s="37"/>
      <c r="AR10" s="37"/>
      <c r="AS10" s="37"/>
      <c r="AT10" s="37"/>
    </row>
    <row r="11" spans="1:46" s="2" customFormat="1" ht="60" x14ac:dyDescent="0.25">
      <c r="A11" s="270">
        <f t="shared" si="1"/>
        <v>6</v>
      </c>
      <c r="B11" s="271" t="str">
        <f>'1. Detailed Budget POA'!C50</f>
        <v>Procure technical support to identify the technical requirements for x-ray (or gamma) scanning equipment in the Suriname Customs Port environment; assist in preparing the technical specifications for that equipment; participate in the procurement evaluation process and provide support in developing the policies and protocols to effectively use the equipment.</v>
      </c>
      <c r="C11" s="51" t="s">
        <v>3</v>
      </c>
      <c r="D11" s="51" t="s">
        <v>0</v>
      </c>
      <c r="E11" s="17">
        <f>'1. Detailed Budget POA'!G50</f>
        <v>49500</v>
      </c>
      <c r="F11" s="17"/>
      <c r="G11" s="17">
        <f t="shared" si="0"/>
        <v>49500</v>
      </c>
      <c r="H11" s="268" t="s">
        <v>322</v>
      </c>
      <c r="I11" s="52" t="s">
        <v>262</v>
      </c>
      <c r="J11" s="52" t="s">
        <v>4</v>
      </c>
      <c r="K11" s="268" t="s">
        <v>68</v>
      </c>
      <c r="L11" s="268" t="s">
        <v>353</v>
      </c>
      <c r="M11" s="271"/>
      <c r="N11" s="37"/>
      <c r="O11" s="37"/>
      <c r="P11" s="37"/>
      <c r="Q11" s="37"/>
      <c r="R11" s="37"/>
      <c r="S11" s="37"/>
      <c r="T11" s="37"/>
      <c r="U11" s="37"/>
      <c r="V11" s="37"/>
      <c r="W11" s="37"/>
      <c r="X11" s="37"/>
      <c r="Y11" s="37"/>
      <c r="Z11" s="37"/>
      <c r="AA11" s="37"/>
      <c r="AB11" s="37"/>
      <c r="AC11" s="37"/>
      <c r="AD11" s="37"/>
      <c r="AE11" s="37"/>
      <c r="AF11" s="37"/>
      <c r="AG11" s="37"/>
      <c r="AH11" s="37"/>
      <c r="AI11" s="37"/>
      <c r="AJ11" s="37"/>
      <c r="AK11" s="37"/>
      <c r="AL11" s="37"/>
      <c r="AM11" s="37"/>
      <c r="AN11" s="37"/>
      <c r="AO11" s="37"/>
      <c r="AP11" s="37"/>
      <c r="AQ11" s="37"/>
      <c r="AR11" s="37"/>
      <c r="AS11" s="37"/>
      <c r="AT11" s="37"/>
    </row>
    <row r="12" spans="1:46" s="2" customFormat="1" x14ac:dyDescent="0.25">
      <c r="A12" s="270">
        <f t="shared" si="1"/>
        <v>7</v>
      </c>
      <c r="B12" s="271" t="str">
        <f>'1. Detailed Budget POA'!C51</f>
        <v xml:space="preserve"> Hiring of local consultants with expertise to support audit operations.</v>
      </c>
      <c r="C12" s="51" t="s">
        <v>3</v>
      </c>
      <c r="D12" s="51" t="s">
        <v>0</v>
      </c>
      <c r="E12" s="17">
        <f>'1. Detailed Budget POA'!G51</f>
        <v>554400</v>
      </c>
      <c r="F12" s="17"/>
      <c r="G12" s="17">
        <f t="shared" si="0"/>
        <v>554400</v>
      </c>
      <c r="H12" s="268" t="s">
        <v>322</v>
      </c>
      <c r="I12" s="52" t="s">
        <v>262</v>
      </c>
      <c r="J12" s="52" t="s">
        <v>27</v>
      </c>
      <c r="K12" s="268" t="s">
        <v>68</v>
      </c>
      <c r="L12" s="268" t="s">
        <v>353</v>
      </c>
      <c r="M12" s="53"/>
      <c r="N12" s="37"/>
      <c r="O12" s="37"/>
      <c r="P12" s="37"/>
      <c r="Q12" s="37"/>
      <c r="R12" s="37"/>
      <c r="S12" s="37"/>
      <c r="T12" s="37"/>
      <c r="U12" s="37"/>
      <c r="V12" s="37"/>
      <c r="W12" s="37"/>
      <c r="X12" s="37"/>
      <c r="Y12" s="37"/>
      <c r="Z12" s="37"/>
      <c r="AA12" s="37"/>
      <c r="AB12" s="37"/>
      <c r="AC12" s="37"/>
      <c r="AD12" s="37"/>
      <c r="AE12" s="37"/>
      <c r="AF12" s="37"/>
      <c r="AG12" s="37"/>
      <c r="AH12" s="37"/>
      <c r="AI12" s="37"/>
      <c r="AJ12" s="37"/>
      <c r="AK12" s="37"/>
      <c r="AL12" s="37"/>
      <c r="AM12" s="37"/>
      <c r="AN12" s="37"/>
      <c r="AO12" s="37"/>
      <c r="AP12" s="37"/>
      <c r="AQ12" s="37"/>
      <c r="AR12" s="37"/>
      <c r="AS12" s="37"/>
      <c r="AT12" s="37"/>
    </row>
    <row r="13" spans="1:46" s="57" customFormat="1" ht="75" x14ac:dyDescent="0.25">
      <c r="A13" s="270">
        <f t="shared" si="1"/>
        <v>8</v>
      </c>
      <c r="B13" s="271" t="str">
        <f>'1. Detailed Budget POA'!C55</f>
        <v>Technical assistance to establish Post Clearance Audit (PCA) group and undertake PCA audits of transactions identified by risk management system when AW risk management module operational.  
Includes on-site training and refresher courses in subsequent years.
(6 months in first year; follow-up in subsequent years includes refresher training).</v>
      </c>
      <c r="C13" s="51" t="s">
        <v>3</v>
      </c>
      <c r="D13" s="51" t="s">
        <v>0</v>
      </c>
      <c r="E13" s="17">
        <f>'1. Detailed Budget POA'!$G55</f>
        <v>165000</v>
      </c>
      <c r="F13" s="17"/>
      <c r="G13" s="17">
        <f t="shared" si="0"/>
        <v>165000</v>
      </c>
      <c r="H13" s="268" t="s">
        <v>323</v>
      </c>
      <c r="I13" s="52" t="s">
        <v>262</v>
      </c>
      <c r="J13" s="52" t="s">
        <v>4</v>
      </c>
      <c r="K13" s="268" t="s">
        <v>68</v>
      </c>
      <c r="L13" s="268" t="s">
        <v>316</v>
      </c>
      <c r="M13" s="53"/>
      <c r="N13" s="56"/>
      <c r="O13" s="56"/>
      <c r="P13" s="56"/>
      <c r="Q13" s="56"/>
      <c r="R13" s="56"/>
      <c r="S13" s="56"/>
      <c r="T13" s="56"/>
      <c r="U13" s="56"/>
      <c r="V13" s="56"/>
      <c r="W13" s="56"/>
      <c r="X13" s="56"/>
      <c r="Y13" s="56"/>
      <c r="Z13" s="56"/>
      <c r="AA13" s="56"/>
      <c r="AB13" s="56"/>
      <c r="AC13" s="56"/>
      <c r="AD13" s="56"/>
      <c r="AE13" s="56"/>
      <c r="AF13" s="56"/>
      <c r="AG13" s="56"/>
      <c r="AH13" s="56"/>
      <c r="AI13" s="56"/>
      <c r="AJ13" s="56"/>
      <c r="AK13" s="56"/>
      <c r="AL13" s="56"/>
      <c r="AM13" s="56"/>
      <c r="AN13" s="56"/>
      <c r="AO13" s="56"/>
      <c r="AP13" s="56"/>
      <c r="AQ13" s="56"/>
      <c r="AR13" s="56"/>
      <c r="AS13" s="56"/>
      <c r="AT13" s="56"/>
    </row>
    <row r="14" spans="1:46" ht="30" x14ac:dyDescent="0.25">
      <c r="A14" s="270">
        <f t="shared" si="1"/>
        <v>9</v>
      </c>
      <c r="B14" s="271" t="str">
        <f>'1. Detailed Budget POA'!C58</f>
        <v>(a) Technical support to review customs procedures and adjust (including job descriptions) to accommodate VAT</v>
      </c>
      <c r="C14" s="51" t="s">
        <v>3</v>
      </c>
      <c r="D14" s="51" t="s">
        <v>0</v>
      </c>
      <c r="E14" s="17">
        <f>'1. Detailed Budget POA'!G58</f>
        <v>66000</v>
      </c>
      <c r="F14" s="17"/>
      <c r="G14" s="17">
        <f t="shared" si="0"/>
        <v>66000</v>
      </c>
      <c r="H14" s="268" t="s">
        <v>324</v>
      </c>
      <c r="I14" s="52" t="s">
        <v>262</v>
      </c>
      <c r="J14" s="52" t="s">
        <v>4</v>
      </c>
      <c r="K14" s="268" t="s">
        <v>67</v>
      </c>
      <c r="L14" s="268" t="s">
        <v>313</v>
      </c>
      <c r="M14" s="53"/>
      <c r="AL14" s="56"/>
      <c r="AM14" s="56"/>
      <c r="AN14" s="56"/>
      <c r="AO14" s="56"/>
      <c r="AP14" s="56"/>
      <c r="AQ14" s="56"/>
      <c r="AR14" s="56"/>
      <c r="AS14" s="56"/>
      <c r="AT14" s="56"/>
    </row>
    <row r="15" spans="1:46" x14ac:dyDescent="0.25">
      <c r="A15" s="270">
        <f t="shared" si="1"/>
        <v>10</v>
      </c>
      <c r="B15" s="271" t="str">
        <f>'1. Detailed Budget POA'!C59</f>
        <v xml:space="preserve"> Hiring of local consultants with expertise to support VAT operations</v>
      </c>
      <c r="C15" s="51" t="s">
        <v>3</v>
      </c>
      <c r="D15" s="51" t="s">
        <v>0</v>
      </c>
      <c r="E15" s="17">
        <f>'1. Detailed Budget POA'!G59</f>
        <v>369600</v>
      </c>
      <c r="F15" s="17"/>
      <c r="G15" s="17">
        <f t="shared" si="0"/>
        <v>369600</v>
      </c>
      <c r="H15" s="268" t="s">
        <v>324</v>
      </c>
      <c r="I15" s="52" t="s">
        <v>262</v>
      </c>
      <c r="J15" s="52" t="s">
        <v>4</v>
      </c>
      <c r="K15" s="268" t="s">
        <v>67</v>
      </c>
      <c r="L15" s="268" t="s">
        <v>313</v>
      </c>
      <c r="M15" s="53"/>
      <c r="AL15" s="56"/>
      <c r="AM15" s="56"/>
      <c r="AN15" s="56"/>
      <c r="AO15" s="56"/>
      <c r="AP15" s="56"/>
      <c r="AQ15" s="56"/>
      <c r="AR15" s="56"/>
      <c r="AS15" s="56"/>
      <c r="AT15" s="56"/>
    </row>
    <row r="16" spans="1:46" x14ac:dyDescent="0.25">
      <c r="A16" s="270">
        <f t="shared" si="1"/>
        <v>11</v>
      </c>
      <c r="B16" s="271" t="str">
        <f>'1. Detailed Budget POA'!C62</f>
        <v xml:space="preserve"> Hiring of local consultants with expertise to support IT functions.</v>
      </c>
      <c r="C16" s="51" t="s">
        <v>3</v>
      </c>
      <c r="D16" s="51" t="s">
        <v>0</v>
      </c>
      <c r="E16" s="17">
        <f>'1. Detailed Budget POA'!G62</f>
        <v>184800</v>
      </c>
      <c r="F16" s="17"/>
      <c r="G16" s="17">
        <f t="shared" si="0"/>
        <v>184800</v>
      </c>
      <c r="H16" s="268" t="s">
        <v>325</v>
      </c>
      <c r="I16" s="52" t="s">
        <v>262</v>
      </c>
      <c r="J16" s="52" t="s">
        <v>4</v>
      </c>
      <c r="K16" s="268" t="s">
        <v>67</v>
      </c>
      <c r="L16" s="268" t="s">
        <v>354</v>
      </c>
      <c r="M16" s="53"/>
      <c r="AL16" s="56"/>
      <c r="AM16" s="56"/>
      <c r="AN16" s="56"/>
      <c r="AO16" s="56"/>
      <c r="AP16" s="56"/>
      <c r="AQ16" s="56"/>
      <c r="AR16" s="56"/>
      <c r="AS16" s="56"/>
      <c r="AT16" s="56"/>
    </row>
    <row r="17" spans="1:46" ht="30" x14ac:dyDescent="0.25">
      <c r="A17" s="270">
        <f t="shared" si="1"/>
        <v>12</v>
      </c>
      <c r="B17" s="271" t="str">
        <f>'1. Detailed Budget POA'!C74</f>
        <v>Technical support to identify deficiencies in existing buildings and to prepare technical specifications for civil works to be undertaken for these buildings.</v>
      </c>
      <c r="C17" s="51" t="s">
        <v>3</v>
      </c>
      <c r="D17" s="51" t="s">
        <v>0</v>
      </c>
      <c r="E17" s="17">
        <f>'1. Detailed Budget POA'!G74</f>
        <v>12320</v>
      </c>
      <c r="F17" s="17"/>
      <c r="G17" s="17">
        <f t="shared" si="0"/>
        <v>12320</v>
      </c>
      <c r="H17" s="268" t="s">
        <v>326</v>
      </c>
      <c r="I17" s="52" t="s">
        <v>262</v>
      </c>
      <c r="J17" s="52" t="s">
        <v>4</v>
      </c>
      <c r="K17" s="268" t="s">
        <v>67</v>
      </c>
      <c r="L17" s="268" t="s">
        <v>353</v>
      </c>
      <c r="M17" s="53"/>
      <c r="AL17" s="56"/>
      <c r="AM17" s="56"/>
      <c r="AN17" s="56"/>
      <c r="AO17" s="56"/>
      <c r="AP17" s="56"/>
      <c r="AQ17" s="56"/>
      <c r="AR17" s="56"/>
      <c r="AS17" s="56"/>
      <c r="AT17" s="56"/>
    </row>
    <row r="18" spans="1:46" ht="30" x14ac:dyDescent="0.25">
      <c r="A18" s="270">
        <f t="shared" si="1"/>
        <v>13</v>
      </c>
      <c r="B18" s="271" t="str">
        <f>'1. Detailed Budget POA'!C76</f>
        <v>Technical support to plan for office moves and requirements of the new building along with project management and execution of the moves to the new facilities</v>
      </c>
      <c r="C18" s="51" t="s">
        <v>3</v>
      </c>
      <c r="D18" s="51" t="s">
        <v>0</v>
      </c>
      <c r="E18" s="17">
        <f>'1. Detailed Budget POA'!G76</f>
        <v>30800</v>
      </c>
      <c r="F18" s="17"/>
      <c r="G18" s="17">
        <f t="shared" si="0"/>
        <v>30800</v>
      </c>
      <c r="H18" s="268" t="s">
        <v>326</v>
      </c>
      <c r="I18" s="52" t="s">
        <v>262</v>
      </c>
      <c r="J18" s="52" t="s">
        <v>4</v>
      </c>
      <c r="K18" s="268" t="s">
        <v>67</v>
      </c>
      <c r="L18" s="268" t="s">
        <v>353</v>
      </c>
      <c r="M18" s="53"/>
      <c r="AL18" s="56"/>
      <c r="AM18" s="56"/>
      <c r="AN18" s="56"/>
      <c r="AO18" s="56"/>
      <c r="AP18" s="56"/>
      <c r="AQ18" s="56"/>
      <c r="AR18" s="56"/>
      <c r="AS18" s="56"/>
      <c r="AT18" s="56"/>
    </row>
    <row r="19" spans="1:46" s="58" customFormat="1" ht="45" x14ac:dyDescent="0.25">
      <c r="A19" s="270">
        <f t="shared" si="1"/>
        <v>14</v>
      </c>
      <c r="B19" s="271" t="str">
        <f>'1. Detailed Budget POA'!C77</f>
        <v>Review the existing inventory of vehicles in tax and customs, identify the transport needs for enforcement, compliance and collections activities.  Prepare specifications for procurement of the appropriately configured cars.</v>
      </c>
      <c r="C19" s="51" t="s">
        <v>3</v>
      </c>
      <c r="D19" s="51" t="s">
        <v>0</v>
      </c>
      <c r="E19" s="17">
        <f>'1. Detailed Budget POA'!G77</f>
        <v>9240</v>
      </c>
      <c r="F19" s="17"/>
      <c r="G19" s="17">
        <f t="shared" si="0"/>
        <v>9240</v>
      </c>
      <c r="H19" s="268" t="s">
        <v>326</v>
      </c>
      <c r="I19" s="52" t="s">
        <v>262</v>
      </c>
      <c r="J19" s="52" t="s">
        <v>4</v>
      </c>
      <c r="K19" s="268" t="s">
        <v>67</v>
      </c>
      <c r="L19" s="268" t="s">
        <v>353</v>
      </c>
      <c r="M19" s="53"/>
      <c r="N19" s="56"/>
      <c r="O19" s="56"/>
      <c r="P19" s="56"/>
      <c r="Q19" s="56"/>
      <c r="R19" s="56"/>
      <c r="S19" s="56"/>
      <c r="T19" s="56"/>
      <c r="U19" s="56"/>
      <c r="V19" s="56"/>
      <c r="W19" s="56"/>
      <c r="X19" s="56"/>
      <c r="Y19" s="56"/>
      <c r="Z19" s="56"/>
      <c r="AA19" s="56"/>
      <c r="AB19" s="56"/>
      <c r="AC19" s="56"/>
      <c r="AD19" s="56"/>
      <c r="AE19" s="56"/>
      <c r="AF19" s="56"/>
      <c r="AG19" s="56"/>
      <c r="AH19" s="56"/>
      <c r="AI19" s="56"/>
      <c r="AJ19" s="56"/>
      <c r="AK19" s="56"/>
    </row>
    <row r="20" spans="1:46" s="58" customFormat="1" ht="120" x14ac:dyDescent="0.25">
      <c r="A20" s="270">
        <f t="shared" si="1"/>
        <v>15</v>
      </c>
      <c r="B20" s="271" t="str">
        <f>'1. Detailed Budget POA'!C98</f>
        <v xml:space="preserve">Development and implementation of a new organizational structure for the Ministry of Finance (MOF) in accordance with the new functions and entities to be stablished, including:
1. new chart organization
2. Definition of the responsibilities for the main entities, as well as the corresponding job descriptions for the operational personnel.
3. Implementation of a training program for the MOF based on the job description,  including e-learning capability.
</v>
      </c>
      <c r="C20" s="51" t="s">
        <v>3</v>
      </c>
      <c r="D20" s="51" t="s">
        <v>0</v>
      </c>
      <c r="E20" s="17">
        <f>'1. Detailed Budget POA'!G98</f>
        <v>297000</v>
      </c>
      <c r="F20" s="17"/>
      <c r="G20" s="17">
        <f t="shared" si="0"/>
        <v>297000</v>
      </c>
      <c r="H20" s="268" t="s">
        <v>327</v>
      </c>
      <c r="I20" s="52" t="s">
        <v>262</v>
      </c>
      <c r="J20" s="52" t="s">
        <v>4</v>
      </c>
      <c r="K20" s="268" t="s">
        <v>67</v>
      </c>
      <c r="L20" s="268" t="s">
        <v>316</v>
      </c>
      <c r="M20" s="53"/>
      <c r="N20" s="56"/>
      <c r="O20" s="56"/>
      <c r="P20" s="56"/>
      <c r="Q20" s="56"/>
      <c r="R20" s="56"/>
      <c r="S20" s="56"/>
      <c r="T20" s="56"/>
      <c r="U20" s="56"/>
      <c r="V20" s="56"/>
      <c r="W20" s="56"/>
      <c r="X20" s="56"/>
      <c r="Y20" s="56"/>
      <c r="Z20" s="56"/>
      <c r="AA20" s="56"/>
      <c r="AB20" s="56"/>
      <c r="AC20" s="56"/>
      <c r="AD20" s="56"/>
      <c r="AE20" s="56"/>
      <c r="AF20" s="56"/>
      <c r="AG20" s="56"/>
      <c r="AH20" s="56"/>
      <c r="AI20" s="56"/>
      <c r="AJ20" s="56"/>
      <c r="AK20" s="56"/>
    </row>
    <row r="21" spans="1:46" s="58" customFormat="1" ht="30" x14ac:dyDescent="0.25">
      <c r="A21" s="270">
        <f t="shared" si="1"/>
        <v>16</v>
      </c>
      <c r="B21" s="271" t="str">
        <f>'1. Detailed Budget POA'!C102</f>
        <v xml:space="preserve">Hiring of external consultant(s) with expertise to support the capacity building and training of the Economics department.  </v>
      </c>
      <c r="C21" s="51" t="s">
        <v>3</v>
      </c>
      <c r="D21" s="51" t="s">
        <v>0</v>
      </c>
      <c r="E21" s="17">
        <f>'1. Detailed Budget POA'!G102</f>
        <v>198000</v>
      </c>
      <c r="F21" s="17"/>
      <c r="G21" s="17">
        <f t="shared" si="0"/>
        <v>198000</v>
      </c>
      <c r="H21" s="268" t="s">
        <v>328</v>
      </c>
      <c r="I21" s="52" t="s">
        <v>262</v>
      </c>
      <c r="J21" s="52" t="s">
        <v>4</v>
      </c>
      <c r="K21" s="268" t="s">
        <v>67</v>
      </c>
      <c r="L21" s="268" t="s">
        <v>316</v>
      </c>
      <c r="M21" s="53"/>
      <c r="N21" s="56"/>
      <c r="O21" s="56"/>
      <c r="P21" s="56"/>
      <c r="Q21" s="56"/>
      <c r="R21" s="56"/>
      <c r="S21" s="56"/>
      <c r="T21" s="56"/>
      <c r="U21" s="56"/>
      <c r="V21" s="56"/>
      <c r="W21" s="56"/>
      <c r="X21" s="56"/>
      <c r="Y21" s="56"/>
      <c r="Z21" s="56"/>
      <c r="AA21" s="56"/>
      <c r="AB21" s="56"/>
      <c r="AC21" s="56"/>
      <c r="AD21" s="56"/>
      <c r="AE21" s="56"/>
      <c r="AF21" s="56"/>
      <c r="AG21" s="56"/>
      <c r="AH21" s="56"/>
      <c r="AI21" s="56"/>
      <c r="AJ21" s="56"/>
      <c r="AK21" s="56"/>
    </row>
    <row r="22" spans="1:46" s="58" customFormat="1" ht="135" x14ac:dyDescent="0.25">
      <c r="A22" s="270">
        <f t="shared" si="1"/>
        <v>17</v>
      </c>
      <c r="B22" s="271" t="str">
        <f>'1. Detailed Budget POA'!C108</f>
        <v>Develop capacity in: (a) macroeconomic diagnostics, including statistics warehousing and data analytics; (b) presentation (or reporting) of integrated macroeconomic stance and outlook; (c) fiscal developments highlighting and public policy results evaluation; (d) projecting of the medium-term fiscal framework under different fiscal rules scenarios, integrating key macroeconomic assumptions, public policy goals, and specific fiscal and public debt sustainability targets; (e) aiding the budget department in translating public policy goals into the medium-term expenditure frameworks and the annual (departments) budget plans, while safeguarding the integrity of the overall fiscal balance; and (f) liaising with the debt management office in safeguarding the financing sustainability of central government and public sector operations.</v>
      </c>
      <c r="C22" s="51" t="s">
        <v>3</v>
      </c>
      <c r="D22" s="51" t="s">
        <v>0</v>
      </c>
      <c r="E22" s="17">
        <f>'1. Detailed Budget POA'!G108</f>
        <v>198000</v>
      </c>
      <c r="F22" s="17"/>
      <c r="G22" s="17">
        <f t="shared" si="0"/>
        <v>198000</v>
      </c>
      <c r="H22" s="268" t="s">
        <v>328</v>
      </c>
      <c r="I22" s="52" t="s">
        <v>262</v>
      </c>
      <c r="J22" s="52" t="s">
        <v>4</v>
      </c>
      <c r="K22" s="268" t="s">
        <v>67</v>
      </c>
      <c r="L22" s="268" t="s">
        <v>313</v>
      </c>
      <c r="M22" s="53"/>
      <c r="N22" s="56"/>
      <c r="O22" s="56"/>
      <c r="P22" s="56"/>
      <c r="Q22" s="56"/>
      <c r="R22" s="56"/>
      <c r="S22" s="56"/>
      <c r="T22" s="56"/>
      <c r="U22" s="56"/>
      <c r="V22" s="56"/>
      <c r="W22" s="56"/>
      <c r="X22" s="56"/>
      <c r="Y22" s="56"/>
      <c r="Z22" s="56"/>
      <c r="AA22" s="56"/>
      <c r="AB22" s="56"/>
      <c r="AC22" s="56"/>
      <c r="AD22" s="56"/>
      <c r="AE22" s="56"/>
      <c r="AF22" s="56"/>
      <c r="AG22" s="56"/>
      <c r="AH22" s="56"/>
      <c r="AI22" s="56"/>
      <c r="AJ22" s="56"/>
      <c r="AK22" s="56"/>
    </row>
    <row r="23" spans="1:46" s="58" customFormat="1" ht="75" x14ac:dyDescent="0.25">
      <c r="A23" s="270">
        <f t="shared" si="1"/>
        <v>18</v>
      </c>
      <c r="B23" s="271" t="str">
        <f>'1. Detailed Budget POA'!C110</f>
        <v xml:space="preserve">Strengthen the budget planning process as part of the implementation of the improved Medium Term Fiscal Framework (MTFF) methodology.
Contribute to development of and execute the implementation of the improved Medium Term Expenditure Framework (MTEF) methodology, aiming to support the budget process in a multiyear perspective. </v>
      </c>
      <c r="C23" s="51" t="s">
        <v>3</v>
      </c>
      <c r="D23" s="51" t="s">
        <v>0</v>
      </c>
      <c r="E23" s="17">
        <f>'1. Detailed Budget POA'!G110</f>
        <v>264000</v>
      </c>
      <c r="F23" s="17"/>
      <c r="G23" s="17">
        <f t="shared" si="0"/>
        <v>264000</v>
      </c>
      <c r="H23" s="268" t="s">
        <v>329</v>
      </c>
      <c r="I23" s="52" t="s">
        <v>262</v>
      </c>
      <c r="J23" s="52" t="s">
        <v>4</v>
      </c>
      <c r="K23" s="268" t="s">
        <v>67</v>
      </c>
      <c r="L23" s="268" t="s">
        <v>316</v>
      </c>
      <c r="M23" s="54"/>
      <c r="N23" s="56"/>
      <c r="O23" s="56"/>
      <c r="P23" s="56"/>
      <c r="Q23" s="56"/>
      <c r="R23" s="56"/>
      <c r="S23" s="56"/>
      <c r="T23" s="56"/>
      <c r="U23" s="56"/>
      <c r="V23" s="56"/>
      <c r="W23" s="56"/>
      <c r="X23" s="56"/>
      <c r="Y23" s="56"/>
      <c r="Z23" s="56"/>
      <c r="AA23" s="56"/>
      <c r="AB23" s="56"/>
      <c r="AC23" s="56"/>
      <c r="AD23" s="56"/>
      <c r="AE23" s="56"/>
      <c r="AF23" s="56"/>
      <c r="AG23" s="56"/>
      <c r="AH23" s="56"/>
      <c r="AI23" s="56"/>
      <c r="AJ23" s="56"/>
      <c r="AK23" s="56"/>
    </row>
    <row r="24" spans="1:46" s="58" customFormat="1" ht="30" x14ac:dyDescent="0.25">
      <c r="A24" s="270">
        <f t="shared" si="1"/>
        <v>19</v>
      </c>
      <c r="B24" s="271" t="str">
        <f>'1. Detailed Budget POA'!C111</f>
        <v xml:space="preserve">Development and implementation of a system to manage the subsidies provided to the public enterprises, including training in subsidies subject. </v>
      </c>
      <c r="C24" s="51" t="s">
        <v>3</v>
      </c>
      <c r="D24" s="51" t="s">
        <v>0</v>
      </c>
      <c r="E24" s="17">
        <f>'1. Detailed Budget POA'!G111</f>
        <v>396000</v>
      </c>
      <c r="F24" s="17"/>
      <c r="G24" s="17">
        <f t="shared" si="0"/>
        <v>396000</v>
      </c>
      <c r="H24" s="268" t="s">
        <v>329</v>
      </c>
      <c r="I24" s="52" t="s">
        <v>262</v>
      </c>
      <c r="J24" s="52" t="s">
        <v>4</v>
      </c>
      <c r="K24" s="268" t="s">
        <v>67</v>
      </c>
      <c r="L24" s="268" t="s">
        <v>315</v>
      </c>
      <c r="M24" s="54"/>
      <c r="N24" s="56"/>
      <c r="O24" s="56"/>
      <c r="P24" s="56"/>
      <c r="Q24" s="56"/>
      <c r="R24" s="56"/>
      <c r="S24" s="56"/>
      <c r="T24" s="56"/>
      <c r="U24" s="56"/>
      <c r="V24" s="56"/>
      <c r="W24" s="56"/>
      <c r="X24" s="56"/>
      <c r="Y24" s="56"/>
      <c r="Z24" s="56"/>
      <c r="AA24" s="56"/>
      <c r="AB24" s="56"/>
      <c r="AC24" s="56"/>
      <c r="AD24" s="56"/>
      <c r="AE24" s="56"/>
      <c r="AF24" s="56"/>
      <c r="AG24" s="56"/>
      <c r="AH24" s="56"/>
      <c r="AI24" s="56"/>
      <c r="AJ24" s="56"/>
      <c r="AK24" s="56"/>
    </row>
    <row r="25" spans="1:46" s="58" customFormat="1" x14ac:dyDescent="0.25">
      <c r="A25" s="270">
        <f t="shared" si="1"/>
        <v>20</v>
      </c>
      <c r="B25" s="271" t="str">
        <f>'1. Detailed Budget POA'!C112</f>
        <v>Understanding of economic concepts of expenditures, and impact for public policy execution.</v>
      </c>
      <c r="C25" s="51" t="s">
        <v>3</v>
      </c>
      <c r="D25" s="51" t="s">
        <v>0</v>
      </c>
      <c r="E25" s="17">
        <f>'1. Detailed Budget POA'!G112</f>
        <v>16500</v>
      </c>
      <c r="F25" s="17"/>
      <c r="G25" s="17">
        <f t="shared" si="0"/>
        <v>16500</v>
      </c>
      <c r="H25" s="268" t="s">
        <v>329</v>
      </c>
      <c r="I25" s="52" t="s">
        <v>262</v>
      </c>
      <c r="J25" s="52" t="s">
        <v>4</v>
      </c>
      <c r="K25" s="268" t="s">
        <v>67</v>
      </c>
      <c r="L25" s="268" t="s">
        <v>315</v>
      </c>
      <c r="M25" s="53"/>
      <c r="N25" s="56"/>
      <c r="O25" s="56"/>
      <c r="P25" s="56"/>
      <c r="Q25" s="56"/>
      <c r="R25" s="56"/>
      <c r="S25" s="56"/>
      <c r="T25" s="56"/>
      <c r="U25" s="56"/>
      <c r="V25" s="56"/>
      <c r="W25" s="56"/>
      <c r="X25" s="56"/>
      <c r="Y25" s="56"/>
      <c r="Z25" s="56"/>
      <c r="AA25" s="56"/>
      <c r="AB25" s="56"/>
      <c r="AC25" s="56"/>
      <c r="AD25" s="56"/>
      <c r="AE25" s="56"/>
      <c r="AF25" s="56"/>
      <c r="AG25" s="56"/>
      <c r="AH25" s="56"/>
      <c r="AI25" s="56"/>
      <c r="AJ25" s="56"/>
      <c r="AK25" s="56"/>
    </row>
    <row r="26" spans="1:46" s="58" customFormat="1" ht="30" x14ac:dyDescent="0.25">
      <c r="A26" s="270">
        <f t="shared" si="1"/>
        <v>21</v>
      </c>
      <c r="B26" s="271" t="str">
        <f>'1. Detailed Budget POA'!C113</f>
        <v>Technical assistance to develop a Medium Term Expenditure Framework model, including training and evaluation</v>
      </c>
      <c r="C26" s="51" t="s">
        <v>3</v>
      </c>
      <c r="D26" s="51" t="s">
        <v>0</v>
      </c>
      <c r="E26" s="17">
        <f>'1. Detailed Budget POA'!G113</f>
        <v>49500</v>
      </c>
      <c r="F26" s="17"/>
      <c r="G26" s="17">
        <f t="shared" si="0"/>
        <v>49500</v>
      </c>
      <c r="H26" s="268" t="s">
        <v>329</v>
      </c>
      <c r="I26" s="52" t="s">
        <v>262</v>
      </c>
      <c r="J26" s="52" t="s">
        <v>4</v>
      </c>
      <c r="K26" s="268" t="s">
        <v>67</v>
      </c>
      <c r="L26" s="268" t="s">
        <v>315</v>
      </c>
      <c r="M26" s="53"/>
      <c r="N26" s="56"/>
      <c r="O26" s="56"/>
      <c r="P26" s="56"/>
      <c r="Q26" s="56"/>
      <c r="R26" s="56"/>
      <c r="S26" s="56"/>
      <c r="T26" s="56"/>
      <c r="U26" s="56"/>
      <c r="V26" s="56"/>
      <c r="W26" s="56"/>
      <c r="X26" s="56"/>
      <c r="Y26" s="56"/>
      <c r="Z26" s="56"/>
      <c r="AA26" s="56"/>
      <c r="AB26" s="56"/>
      <c r="AC26" s="56"/>
      <c r="AD26" s="56"/>
      <c r="AE26" s="56"/>
      <c r="AF26" s="56"/>
      <c r="AG26" s="56"/>
      <c r="AH26" s="56"/>
      <c r="AI26" s="56"/>
      <c r="AJ26" s="56"/>
      <c r="AK26" s="56"/>
    </row>
    <row r="27" spans="1:46" x14ac:dyDescent="0.25">
      <c r="A27" s="270">
        <f t="shared" si="1"/>
        <v>22</v>
      </c>
      <c r="B27" s="271" t="str">
        <f>'1. Detailed Budget POA'!C121</f>
        <v xml:space="preserve"> Hiring of local consultants with expertise to support day to day treasury operations.  </v>
      </c>
      <c r="C27" s="51" t="s">
        <v>3</v>
      </c>
      <c r="D27" s="51" t="s">
        <v>0</v>
      </c>
      <c r="E27" s="17">
        <f>'1. Detailed Budget POA'!G121</f>
        <v>443520</v>
      </c>
      <c r="F27" s="17"/>
      <c r="G27" s="17">
        <f t="shared" si="0"/>
        <v>443520</v>
      </c>
      <c r="H27" s="268" t="s">
        <v>330</v>
      </c>
      <c r="I27" s="52" t="s">
        <v>262</v>
      </c>
      <c r="J27" s="52" t="s">
        <v>4</v>
      </c>
      <c r="K27" s="268" t="s">
        <v>67</v>
      </c>
      <c r="L27" s="268" t="s">
        <v>315</v>
      </c>
      <c r="M27" s="53"/>
      <c r="AL27" s="56"/>
      <c r="AM27" s="56"/>
      <c r="AN27" s="56"/>
      <c r="AO27" s="56"/>
      <c r="AP27" s="56"/>
      <c r="AQ27" s="56"/>
      <c r="AR27" s="56"/>
      <c r="AS27" s="56"/>
      <c r="AT27" s="56"/>
    </row>
    <row r="28" spans="1:46" s="58" customFormat="1" ht="135" x14ac:dyDescent="0.25">
      <c r="A28" s="270">
        <f t="shared" si="1"/>
        <v>23</v>
      </c>
      <c r="B28" s="271" t="str">
        <f>'1. Detailed Budget POA'!C122</f>
        <v xml:space="preserve"> 
a. Establishment of a Treasury Department including: (i) the preparation of a road map for its implementation; (ii)   Revamp the Treasury Single Account (TSA) system to result in information on Total cash balances of the government being available at least daily and to consolidate cash balances in support of the cash management.
b. Development and implementation of a new cash management (CM) model, including: (i) creation of a CM unit; (ii) establishment of a CM Committee for coordination among stakeholders, including Debt Management (SDMO) and Central Bank; (iii) ; and (iv) implement a permanent training program.</v>
      </c>
      <c r="C28" s="51" t="s">
        <v>3</v>
      </c>
      <c r="D28" s="51" t="s">
        <v>0</v>
      </c>
      <c r="E28" s="17">
        <f>'1. Detailed Budget POA'!G122</f>
        <v>594000</v>
      </c>
      <c r="F28" s="17"/>
      <c r="G28" s="17">
        <f t="shared" si="0"/>
        <v>594000</v>
      </c>
      <c r="H28" s="268" t="s">
        <v>330</v>
      </c>
      <c r="I28" s="52" t="s">
        <v>262</v>
      </c>
      <c r="J28" s="52" t="s">
        <v>4</v>
      </c>
      <c r="K28" s="268" t="s">
        <v>67</v>
      </c>
      <c r="L28" s="268" t="s">
        <v>315</v>
      </c>
      <c r="M28" s="53"/>
      <c r="N28" s="56"/>
      <c r="O28" s="56"/>
      <c r="P28" s="56"/>
      <c r="Q28" s="56"/>
      <c r="R28" s="56"/>
      <c r="S28" s="56"/>
      <c r="T28" s="56"/>
      <c r="U28" s="56"/>
      <c r="V28" s="56"/>
      <c r="W28" s="56"/>
      <c r="X28" s="56"/>
      <c r="Y28" s="56"/>
      <c r="Z28" s="56"/>
      <c r="AA28" s="56"/>
      <c r="AB28" s="56"/>
      <c r="AC28" s="56"/>
      <c r="AD28" s="56"/>
      <c r="AE28" s="56"/>
      <c r="AF28" s="56"/>
      <c r="AG28" s="56"/>
      <c r="AH28" s="56"/>
      <c r="AI28" s="56"/>
      <c r="AJ28" s="56"/>
      <c r="AK28" s="56"/>
    </row>
    <row r="29" spans="1:46" s="58" customFormat="1" x14ac:dyDescent="0.25">
      <c r="A29" s="270">
        <f t="shared" si="1"/>
        <v>24</v>
      </c>
      <c r="B29" s="271" t="str">
        <f>'1. Detailed Budget POA'!C134</f>
        <v xml:space="preserve">Hiring of local consultants with expertise to support debt management operations. </v>
      </c>
      <c r="C29" s="51" t="s">
        <v>3</v>
      </c>
      <c r="D29" s="51" t="s">
        <v>0</v>
      </c>
      <c r="E29" s="17">
        <f>'1. Detailed Budget POA'!G134</f>
        <v>221760</v>
      </c>
      <c r="F29" s="17"/>
      <c r="G29" s="17">
        <f t="shared" si="0"/>
        <v>221760</v>
      </c>
      <c r="H29" s="268" t="s">
        <v>331</v>
      </c>
      <c r="I29" s="52" t="s">
        <v>262</v>
      </c>
      <c r="J29" s="52" t="s">
        <v>4</v>
      </c>
      <c r="K29" s="268" t="s">
        <v>67</v>
      </c>
      <c r="L29" s="268" t="s">
        <v>316</v>
      </c>
      <c r="M29" s="53"/>
      <c r="N29" s="56"/>
      <c r="O29" s="56"/>
      <c r="P29" s="56"/>
      <c r="Q29" s="56"/>
      <c r="R29" s="56"/>
      <c r="S29" s="56"/>
      <c r="T29" s="56"/>
      <c r="U29" s="56"/>
      <c r="V29" s="56"/>
      <c r="W29" s="56"/>
      <c r="X29" s="56"/>
      <c r="Y29" s="56"/>
      <c r="Z29" s="56"/>
      <c r="AA29" s="56"/>
      <c r="AB29" s="56"/>
      <c r="AC29" s="56"/>
      <c r="AD29" s="56"/>
      <c r="AE29" s="56"/>
      <c r="AF29" s="56"/>
      <c r="AG29" s="56"/>
      <c r="AH29" s="56"/>
      <c r="AI29" s="56"/>
      <c r="AJ29" s="56"/>
      <c r="AK29" s="56"/>
    </row>
    <row r="30" spans="1:46" ht="75" x14ac:dyDescent="0.25">
      <c r="A30" s="270">
        <f t="shared" si="1"/>
        <v>25</v>
      </c>
      <c r="B30" s="271" t="str">
        <f>'1. Detailed Budget POA'!C135</f>
        <v xml:space="preserve">Development and implementation of a  public debt management model , comprising front, middle and back office functions. Project activities will include: (i) a review of the current situation; (ii) a consultancy to help develop and implement the improved model; (iii) operating manuals; (iv) permanent training program in skills required for debt management.
</v>
      </c>
      <c r="C30" s="51" t="s">
        <v>3</v>
      </c>
      <c r="D30" s="51" t="s">
        <v>0</v>
      </c>
      <c r="E30" s="17">
        <f>'1. Detailed Budget POA'!G135</f>
        <v>165000</v>
      </c>
      <c r="F30" s="17"/>
      <c r="G30" s="17">
        <f t="shared" si="0"/>
        <v>165000</v>
      </c>
      <c r="H30" s="268" t="s">
        <v>331</v>
      </c>
      <c r="I30" s="52" t="s">
        <v>262</v>
      </c>
      <c r="J30" s="52" t="s">
        <v>4</v>
      </c>
      <c r="K30" s="268" t="s">
        <v>68</v>
      </c>
      <c r="L30" s="268" t="s">
        <v>316</v>
      </c>
      <c r="M30" s="53"/>
      <c r="AL30" s="56"/>
      <c r="AM30" s="56"/>
      <c r="AN30" s="56"/>
      <c r="AO30" s="56"/>
      <c r="AP30" s="56"/>
      <c r="AQ30" s="56"/>
      <c r="AR30" s="56"/>
      <c r="AS30" s="56"/>
      <c r="AT30" s="56"/>
    </row>
    <row r="31" spans="1:46" ht="30" x14ac:dyDescent="0.25">
      <c r="A31" s="270">
        <f t="shared" si="1"/>
        <v>26</v>
      </c>
      <c r="B31" s="271" t="str">
        <f>'1. Detailed Budget POA'!C136</f>
        <v>Debt management information system with interfaces with other government systems implemented</v>
      </c>
      <c r="C31" s="51" t="s">
        <v>3</v>
      </c>
      <c r="D31" s="51" t="s">
        <v>0</v>
      </c>
      <c r="E31" s="17">
        <f>'1. Detailed Budget POA'!G136</f>
        <v>165000</v>
      </c>
      <c r="F31" s="17"/>
      <c r="G31" s="17">
        <f t="shared" si="0"/>
        <v>165000</v>
      </c>
      <c r="H31" s="268" t="s">
        <v>331</v>
      </c>
      <c r="I31" s="52" t="s">
        <v>262</v>
      </c>
      <c r="J31" s="52" t="s">
        <v>4</v>
      </c>
      <c r="K31" s="268" t="s">
        <v>68</v>
      </c>
      <c r="L31" s="268" t="s">
        <v>316</v>
      </c>
      <c r="M31" s="53"/>
      <c r="AL31" s="56"/>
      <c r="AM31" s="56"/>
      <c r="AN31" s="56"/>
      <c r="AO31" s="56"/>
      <c r="AP31" s="56"/>
      <c r="AQ31" s="56"/>
      <c r="AR31" s="56"/>
      <c r="AS31" s="56"/>
      <c r="AT31" s="56"/>
    </row>
    <row r="32" spans="1:46" x14ac:dyDescent="0.25">
      <c r="A32" s="270">
        <f t="shared" si="1"/>
        <v>27</v>
      </c>
      <c r="B32" s="271" t="str">
        <f>'1. Detailed Budget POA'!C143</f>
        <v>Development of an action plan for the procurement system modernization</v>
      </c>
      <c r="C32" s="51" t="s">
        <v>3</v>
      </c>
      <c r="D32" s="51" t="s">
        <v>0</v>
      </c>
      <c r="E32" s="17">
        <f>'1. Detailed Budget POA'!G143</f>
        <v>49500</v>
      </c>
      <c r="F32" s="17"/>
      <c r="G32" s="17">
        <f t="shared" si="0"/>
        <v>49500</v>
      </c>
      <c r="H32" s="268" t="s">
        <v>332</v>
      </c>
      <c r="I32" s="52" t="s">
        <v>262</v>
      </c>
      <c r="J32" s="52" t="s">
        <v>4</v>
      </c>
      <c r="K32" s="268" t="s">
        <v>67</v>
      </c>
      <c r="L32" s="268" t="s">
        <v>316</v>
      </c>
      <c r="M32" s="53"/>
      <c r="AL32" s="56"/>
      <c r="AM32" s="56"/>
      <c r="AN32" s="56"/>
      <c r="AO32" s="56"/>
      <c r="AP32" s="56"/>
      <c r="AQ32" s="56"/>
      <c r="AR32" s="56"/>
      <c r="AS32" s="56"/>
      <c r="AT32" s="56"/>
    </row>
    <row r="33" spans="1:46" x14ac:dyDescent="0.25">
      <c r="A33" s="270">
        <f t="shared" si="1"/>
        <v>28</v>
      </c>
      <c r="B33" s="271" t="str">
        <f>'1. Detailed Budget POA'!C144</f>
        <v>Review and update the regulations, manuals, and standard bidding document</v>
      </c>
      <c r="C33" s="51" t="s">
        <v>3</v>
      </c>
      <c r="D33" s="51" t="s">
        <v>0</v>
      </c>
      <c r="E33" s="17">
        <f>'1. Detailed Budget POA'!G144</f>
        <v>99000</v>
      </c>
      <c r="F33" s="17"/>
      <c r="G33" s="17">
        <f t="shared" ref="G33:G34" si="2">E33</f>
        <v>99000</v>
      </c>
      <c r="H33" s="268" t="s">
        <v>332</v>
      </c>
      <c r="I33" s="52" t="s">
        <v>262</v>
      </c>
      <c r="J33" s="52" t="s">
        <v>4</v>
      </c>
      <c r="K33" s="268" t="s">
        <v>67</v>
      </c>
      <c r="L33" s="268" t="s">
        <v>316</v>
      </c>
      <c r="M33" s="53"/>
      <c r="AL33" s="56"/>
      <c r="AM33" s="56"/>
      <c r="AN33" s="56"/>
      <c r="AO33" s="56"/>
      <c r="AP33" s="56"/>
      <c r="AQ33" s="56"/>
      <c r="AR33" s="56"/>
      <c r="AS33" s="56"/>
      <c r="AT33" s="56"/>
    </row>
    <row r="34" spans="1:46" x14ac:dyDescent="0.25">
      <c r="A34" s="270">
        <f t="shared" si="1"/>
        <v>29</v>
      </c>
      <c r="B34" s="271" t="str">
        <f>'1. Detailed Budget POA'!C145</f>
        <v>Development of a Code of Ethics</v>
      </c>
      <c r="C34" s="51" t="s">
        <v>3</v>
      </c>
      <c r="D34" s="51" t="s">
        <v>0</v>
      </c>
      <c r="E34" s="17">
        <f>'1. Detailed Budget POA'!G145</f>
        <v>33000</v>
      </c>
      <c r="F34" s="17"/>
      <c r="G34" s="17">
        <f t="shared" si="2"/>
        <v>33000</v>
      </c>
      <c r="H34" s="268" t="s">
        <v>332</v>
      </c>
      <c r="I34" s="52" t="s">
        <v>262</v>
      </c>
      <c r="J34" s="52" t="s">
        <v>4</v>
      </c>
      <c r="K34" s="268" t="s">
        <v>67</v>
      </c>
      <c r="L34" s="268" t="s">
        <v>315</v>
      </c>
      <c r="M34" s="53"/>
      <c r="AL34" s="56"/>
      <c r="AM34" s="56"/>
      <c r="AN34" s="56"/>
      <c r="AO34" s="56"/>
      <c r="AP34" s="56"/>
      <c r="AQ34" s="56"/>
      <c r="AR34" s="56"/>
      <c r="AS34" s="56"/>
      <c r="AT34" s="56"/>
    </row>
    <row r="35" spans="1:46" ht="30" x14ac:dyDescent="0.25">
      <c r="A35" s="270">
        <f t="shared" si="1"/>
        <v>30</v>
      </c>
      <c r="B35" s="271" t="str">
        <f>'1. Detailed Budget POA'!C146</f>
        <v>Development and implementation of methodologies for framework contracts and reference price.</v>
      </c>
      <c r="C35" s="51" t="s">
        <v>3</v>
      </c>
      <c r="D35" s="51" t="s">
        <v>0</v>
      </c>
      <c r="E35" s="17">
        <f>'1. Detailed Budget POA'!G146</f>
        <v>198000</v>
      </c>
      <c r="F35" s="17"/>
      <c r="G35" s="17">
        <f t="shared" si="0"/>
        <v>198000</v>
      </c>
      <c r="H35" s="268" t="s">
        <v>332</v>
      </c>
      <c r="I35" s="52" t="s">
        <v>262</v>
      </c>
      <c r="J35" s="52" t="s">
        <v>4</v>
      </c>
      <c r="K35" s="268" t="s">
        <v>67</v>
      </c>
      <c r="L35" s="268" t="s">
        <v>315</v>
      </c>
      <c r="M35" s="53"/>
      <c r="AL35" s="56"/>
      <c r="AM35" s="56"/>
      <c r="AN35" s="56"/>
      <c r="AO35" s="56"/>
      <c r="AP35" s="56"/>
      <c r="AQ35" s="56"/>
      <c r="AR35" s="56"/>
      <c r="AS35" s="56"/>
      <c r="AT35" s="56"/>
    </row>
    <row r="36" spans="1:46" ht="45" x14ac:dyDescent="0.25">
      <c r="A36" s="270">
        <f t="shared" si="1"/>
        <v>31</v>
      </c>
      <c r="B36" s="271" t="str">
        <f>'1. Detailed Budget POA'!C149</f>
        <v>Development and implementation of an improved chart of accounts (COA) taking advantage of the capabilities of the new Integrated Financial Information System (IFMIS), including bank accounts, control accounts, and all government assets and liabilities.</v>
      </c>
      <c r="C36" s="51" t="s">
        <v>3</v>
      </c>
      <c r="D36" s="51" t="s">
        <v>0</v>
      </c>
      <c r="E36" s="17">
        <f>'1. Detailed Budget POA'!G149</f>
        <v>198000</v>
      </c>
      <c r="F36" s="17"/>
      <c r="G36" s="17">
        <f t="shared" ref="G36" si="3">E36</f>
        <v>198000</v>
      </c>
      <c r="H36" s="268" t="s">
        <v>333</v>
      </c>
      <c r="I36" s="52" t="s">
        <v>262</v>
      </c>
      <c r="J36" s="52" t="s">
        <v>4</v>
      </c>
      <c r="K36" s="268" t="s">
        <v>67</v>
      </c>
      <c r="L36" s="268" t="s">
        <v>354</v>
      </c>
      <c r="M36" s="53"/>
      <c r="AL36" s="56"/>
      <c r="AM36" s="56"/>
      <c r="AN36" s="56"/>
      <c r="AO36" s="56"/>
      <c r="AP36" s="56"/>
      <c r="AQ36" s="56"/>
      <c r="AR36" s="56"/>
      <c r="AS36" s="56"/>
      <c r="AT36" s="56"/>
    </row>
    <row r="37" spans="1:46" ht="30" x14ac:dyDescent="0.25">
      <c r="A37" s="270">
        <f t="shared" si="1"/>
        <v>32</v>
      </c>
      <c r="B37" s="271" t="str">
        <f>'1. Detailed Budget POA'!C150</f>
        <v>Evaluation of the government accounting system against International Public Sector Accounting Standards (IPSAS) and implementation of a work plan to improve accounting standards.</v>
      </c>
      <c r="C37" s="51" t="s">
        <v>3</v>
      </c>
      <c r="D37" s="51" t="s">
        <v>0</v>
      </c>
      <c r="E37" s="17">
        <f>'1. Detailed Budget POA'!G150</f>
        <v>132000</v>
      </c>
      <c r="F37" s="17"/>
      <c r="G37" s="17">
        <f t="shared" si="0"/>
        <v>132000</v>
      </c>
      <c r="H37" s="268" t="s">
        <v>333</v>
      </c>
      <c r="I37" s="52" t="s">
        <v>262</v>
      </c>
      <c r="J37" s="52" t="s">
        <v>4</v>
      </c>
      <c r="K37" s="268" t="s">
        <v>67</v>
      </c>
      <c r="L37" s="268" t="s">
        <v>353</v>
      </c>
      <c r="M37" s="53"/>
      <c r="AL37" s="56"/>
      <c r="AM37" s="56"/>
      <c r="AN37" s="56"/>
      <c r="AO37" s="56"/>
      <c r="AP37" s="56"/>
      <c r="AQ37" s="56"/>
      <c r="AR37" s="56"/>
      <c r="AS37" s="56"/>
      <c r="AT37" s="56"/>
    </row>
    <row r="38" spans="1:46" x14ac:dyDescent="0.25">
      <c r="A38" s="270">
        <f t="shared" si="1"/>
        <v>33</v>
      </c>
      <c r="B38" s="271" t="str">
        <f>'1. Detailed Budget POA'!C158</f>
        <v>Preparation of a needs assessment for an internal control business model.</v>
      </c>
      <c r="C38" s="51" t="s">
        <v>3</v>
      </c>
      <c r="D38" s="51" t="s">
        <v>0</v>
      </c>
      <c r="E38" s="17">
        <f>'1. Detailed Budget POA'!G158</f>
        <v>49500</v>
      </c>
      <c r="F38" s="17"/>
      <c r="G38" s="17">
        <f t="shared" si="0"/>
        <v>49500</v>
      </c>
      <c r="H38" s="268" t="s">
        <v>334</v>
      </c>
      <c r="I38" s="52" t="s">
        <v>262</v>
      </c>
      <c r="J38" s="52" t="s">
        <v>4</v>
      </c>
      <c r="K38" s="268" t="s">
        <v>67</v>
      </c>
      <c r="L38" s="268" t="s">
        <v>313</v>
      </c>
      <c r="M38" s="53"/>
      <c r="AL38" s="56"/>
      <c r="AM38" s="56"/>
      <c r="AN38" s="56"/>
      <c r="AO38" s="56"/>
      <c r="AP38" s="56"/>
      <c r="AQ38" s="56"/>
      <c r="AR38" s="56"/>
      <c r="AS38" s="56"/>
      <c r="AT38" s="56"/>
    </row>
    <row r="39" spans="1:46" x14ac:dyDescent="0.25">
      <c r="A39" s="270">
        <f t="shared" si="1"/>
        <v>34</v>
      </c>
      <c r="B39" s="271" t="str">
        <f>'1. Detailed Budget POA'!C167</f>
        <v>Development of a mechanisms to establish and rationalize subsidies to SOES.</v>
      </c>
      <c r="C39" s="51" t="s">
        <v>3</v>
      </c>
      <c r="D39" s="51" t="s">
        <v>0</v>
      </c>
      <c r="E39" s="17">
        <f>'1. Detailed Budget POA'!G167</f>
        <v>198000</v>
      </c>
      <c r="F39" s="17"/>
      <c r="G39" s="17">
        <f t="shared" si="0"/>
        <v>198000</v>
      </c>
      <c r="H39" s="51">
        <v>29</v>
      </c>
      <c r="I39" s="52" t="s">
        <v>262</v>
      </c>
      <c r="J39" s="52" t="s">
        <v>4</v>
      </c>
      <c r="K39" s="268" t="s">
        <v>67</v>
      </c>
      <c r="L39" s="268" t="s">
        <v>316</v>
      </c>
      <c r="M39" s="53"/>
      <c r="AL39" s="56"/>
      <c r="AM39" s="56"/>
      <c r="AN39" s="56"/>
      <c r="AO39" s="56"/>
      <c r="AP39" s="56"/>
      <c r="AQ39" s="56"/>
      <c r="AR39" s="56"/>
      <c r="AS39" s="56"/>
      <c r="AT39" s="56"/>
    </row>
    <row r="40" spans="1:46" ht="30" x14ac:dyDescent="0.25">
      <c r="A40" s="270">
        <f t="shared" si="1"/>
        <v>35</v>
      </c>
      <c r="B40" s="271" t="str">
        <f>'1. Detailed Budget POA'!C168</f>
        <v>Establishment of the SOE Unit, including its structure, procedures manual, model for the financial statements and main reports, and job profiles of the staff.</v>
      </c>
      <c r="C40" s="51" t="s">
        <v>3</v>
      </c>
      <c r="D40" s="51" t="s">
        <v>0</v>
      </c>
      <c r="E40" s="17">
        <f>'1. Detailed Budget POA'!G168</f>
        <v>198000</v>
      </c>
      <c r="F40" s="17"/>
      <c r="G40" s="17">
        <f t="shared" si="0"/>
        <v>198000</v>
      </c>
      <c r="H40" s="268" t="s">
        <v>335</v>
      </c>
      <c r="I40" s="52" t="s">
        <v>262</v>
      </c>
      <c r="J40" s="52" t="s">
        <v>4</v>
      </c>
      <c r="K40" s="268" t="s">
        <v>69</v>
      </c>
      <c r="L40" s="268" t="s">
        <v>353</v>
      </c>
      <c r="M40" s="53"/>
      <c r="AL40" s="56"/>
      <c r="AM40" s="56"/>
      <c r="AN40" s="56"/>
      <c r="AO40" s="56"/>
      <c r="AP40" s="56"/>
      <c r="AQ40" s="56"/>
      <c r="AR40" s="56"/>
      <c r="AS40" s="56"/>
      <c r="AT40" s="56"/>
    </row>
    <row r="41" spans="1:46" x14ac:dyDescent="0.25">
      <c r="A41" s="270">
        <f t="shared" si="1"/>
        <v>36</v>
      </c>
      <c r="B41" s="271" t="str">
        <f>'1. Detailed Budget POA'!C169</f>
        <v>Analysis of the value of OSEs assets / liabilities with recommendation for improvements</v>
      </c>
      <c r="C41" s="51" t="s">
        <v>3</v>
      </c>
      <c r="D41" s="51" t="s">
        <v>0</v>
      </c>
      <c r="E41" s="17">
        <f>'1. Detailed Budget POA'!G169</f>
        <v>297000</v>
      </c>
      <c r="F41" s="17"/>
      <c r="G41" s="17">
        <f t="shared" si="0"/>
        <v>297000</v>
      </c>
      <c r="H41" s="268" t="s">
        <v>335</v>
      </c>
      <c r="I41" s="52" t="s">
        <v>262</v>
      </c>
      <c r="J41" s="52" t="s">
        <v>4</v>
      </c>
      <c r="K41" s="268" t="s">
        <v>69</v>
      </c>
      <c r="L41" s="268" t="s">
        <v>353</v>
      </c>
      <c r="M41" s="53"/>
      <c r="AL41" s="56"/>
      <c r="AM41" s="56"/>
      <c r="AN41" s="56"/>
      <c r="AO41" s="56"/>
      <c r="AP41" s="56"/>
      <c r="AQ41" s="56"/>
      <c r="AR41" s="56"/>
      <c r="AS41" s="56"/>
      <c r="AT41" s="56"/>
    </row>
    <row r="42" spans="1:46" ht="60" x14ac:dyDescent="0.25">
      <c r="A42" s="270">
        <f t="shared" si="1"/>
        <v>37</v>
      </c>
      <c r="B42" s="271" t="str">
        <f>'1. Detailed Budget POA'!C172</f>
        <v>Preparation of an assessment of the internal audit business model and provide support for implementation of the recommendations.
Implementation of a permanent training program, including techniques for financial, forensic, and performance audits.</v>
      </c>
      <c r="C42" s="51" t="s">
        <v>3</v>
      </c>
      <c r="D42" s="51" t="s">
        <v>0</v>
      </c>
      <c r="E42" s="17">
        <f>'1. Detailed Budget POA'!G172</f>
        <v>198000</v>
      </c>
      <c r="F42" s="17"/>
      <c r="G42" s="17">
        <f t="shared" si="0"/>
        <v>198000</v>
      </c>
      <c r="H42" s="268" t="s">
        <v>336</v>
      </c>
      <c r="I42" s="52" t="s">
        <v>262</v>
      </c>
      <c r="J42" s="52" t="s">
        <v>4</v>
      </c>
      <c r="K42" s="268" t="s">
        <v>69</v>
      </c>
      <c r="L42" s="268" t="s">
        <v>355</v>
      </c>
      <c r="M42" s="53"/>
      <c r="AL42" s="56"/>
      <c r="AM42" s="56"/>
      <c r="AN42" s="56"/>
      <c r="AO42" s="56"/>
      <c r="AP42" s="56"/>
      <c r="AQ42" s="56"/>
      <c r="AR42" s="56"/>
      <c r="AS42" s="56"/>
      <c r="AT42" s="56"/>
    </row>
    <row r="43" spans="1:46" x14ac:dyDescent="0.25">
      <c r="A43" s="270">
        <f t="shared" si="1"/>
        <v>38</v>
      </c>
      <c r="B43" s="271" t="str">
        <f>'1. Detailed Budget POA'!C173</f>
        <v xml:space="preserve"> Hiring of local consultants with expertise to support internal audit operations.</v>
      </c>
      <c r="C43" s="51" t="s">
        <v>3</v>
      </c>
      <c r="D43" s="51" t="s">
        <v>0</v>
      </c>
      <c r="E43" s="17">
        <f>'1. Detailed Budget POA'!G173</f>
        <v>336000</v>
      </c>
      <c r="F43" s="17"/>
      <c r="G43" s="17">
        <f t="shared" si="0"/>
        <v>336000</v>
      </c>
      <c r="H43" s="268" t="s">
        <v>336</v>
      </c>
      <c r="I43" s="52" t="s">
        <v>262</v>
      </c>
      <c r="J43" s="52" t="s">
        <v>4</v>
      </c>
      <c r="K43" s="268" t="s">
        <v>69</v>
      </c>
      <c r="L43" s="268" t="s">
        <v>355</v>
      </c>
      <c r="M43" s="53"/>
      <c r="AL43" s="56"/>
      <c r="AM43" s="56"/>
      <c r="AN43" s="56"/>
      <c r="AO43" s="56"/>
      <c r="AP43" s="56"/>
      <c r="AQ43" s="56"/>
      <c r="AR43" s="56"/>
      <c r="AS43" s="56"/>
      <c r="AT43" s="56"/>
    </row>
    <row r="44" spans="1:46" ht="30" x14ac:dyDescent="0.25">
      <c r="A44" s="270">
        <f t="shared" si="1"/>
        <v>39</v>
      </c>
      <c r="B44" s="271" t="str">
        <f>'1. Detailed Budget POA'!C181</f>
        <v>Technical assistance to develop a conceptual model for the implementation of a transparency portal to publish all government fiscal information according to the best practices</v>
      </c>
      <c r="C44" s="51" t="s">
        <v>3</v>
      </c>
      <c r="D44" s="51" t="s">
        <v>0</v>
      </c>
      <c r="E44" s="17">
        <f>'1. Detailed Budget POA'!G181</f>
        <v>198000</v>
      </c>
      <c r="F44" s="17"/>
      <c r="G44" s="17">
        <f t="shared" si="0"/>
        <v>198000</v>
      </c>
      <c r="H44" s="268" t="s">
        <v>337</v>
      </c>
      <c r="I44" s="52" t="s">
        <v>262</v>
      </c>
      <c r="J44" s="52" t="s">
        <v>4</v>
      </c>
      <c r="K44" s="268" t="s">
        <v>70</v>
      </c>
      <c r="L44" s="268" t="s">
        <v>353</v>
      </c>
      <c r="M44" s="53"/>
      <c r="AL44" s="56"/>
      <c r="AM44" s="56"/>
      <c r="AN44" s="56"/>
      <c r="AO44" s="56"/>
      <c r="AP44" s="56"/>
      <c r="AQ44" s="56"/>
      <c r="AR44" s="56"/>
      <c r="AS44" s="56"/>
      <c r="AT44" s="56"/>
    </row>
    <row r="45" spans="1:46" ht="30" x14ac:dyDescent="0.25">
      <c r="A45" s="270">
        <f t="shared" si="1"/>
        <v>40</v>
      </c>
      <c r="B45" s="271" t="str">
        <f>'1. Detailed Budget POA'!C182</f>
        <v>Technical assistance to develop and implement a WEB portal to publish the government fiscal information</v>
      </c>
      <c r="C45" s="51" t="s">
        <v>3</v>
      </c>
      <c r="D45" s="51" t="s">
        <v>0</v>
      </c>
      <c r="E45" s="17">
        <f>'1. Detailed Budget POA'!G182</f>
        <v>36960</v>
      </c>
      <c r="F45" s="17"/>
      <c r="G45" s="17">
        <f t="shared" si="0"/>
        <v>36960</v>
      </c>
      <c r="H45" s="268" t="s">
        <v>337</v>
      </c>
      <c r="I45" s="52" t="s">
        <v>262</v>
      </c>
      <c r="J45" s="52" t="s">
        <v>4</v>
      </c>
      <c r="K45" s="268" t="s">
        <v>70</v>
      </c>
      <c r="L45" s="268" t="s">
        <v>353</v>
      </c>
      <c r="M45" s="53"/>
      <c r="AL45" s="56"/>
      <c r="AM45" s="56"/>
      <c r="AN45" s="56"/>
      <c r="AO45" s="56"/>
      <c r="AP45" s="56"/>
      <c r="AQ45" s="56"/>
      <c r="AR45" s="56"/>
      <c r="AS45" s="56"/>
      <c r="AT45" s="56"/>
    </row>
    <row r="46" spans="1:46" ht="30" x14ac:dyDescent="0.25">
      <c r="A46" s="270">
        <f t="shared" si="1"/>
        <v>41</v>
      </c>
      <c r="B46" s="271" t="str">
        <f>'1. Detailed Budget POA'!C190</f>
        <v>Hiring of local consultants with expertise to support IT operations including: (i) data base; (ii) system administration; (iii) IT security; and (iv) networking; (v) project manager</v>
      </c>
      <c r="C46" s="51" t="s">
        <v>3</v>
      </c>
      <c r="D46" s="51" t="s">
        <v>0</v>
      </c>
      <c r="E46" s="17">
        <f>'1. Detailed Budget POA'!G190</f>
        <v>739200</v>
      </c>
      <c r="F46" s="17"/>
      <c r="G46" s="17">
        <f t="shared" si="0"/>
        <v>739200</v>
      </c>
      <c r="H46" s="268" t="s">
        <v>338</v>
      </c>
      <c r="I46" s="52" t="s">
        <v>262</v>
      </c>
      <c r="J46" s="52" t="s">
        <v>4</v>
      </c>
      <c r="K46" s="268" t="s">
        <v>70</v>
      </c>
      <c r="L46" s="268" t="s">
        <v>353</v>
      </c>
      <c r="M46" s="53"/>
      <c r="AL46" s="56"/>
      <c r="AM46" s="56"/>
      <c r="AN46" s="56"/>
      <c r="AO46" s="56"/>
      <c r="AP46" s="56"/>
      <c r="AQ46" s="56"/>
      <c r="AR46" s="56"/>
      <c r="AS46" s="56"/>
      <c r="AT46" s="56"/>
    </row>
    <row r="47" spans="1:46" ht="90" x14ac:dyDescent="0.25">
      <c r="A47" s="270">
        <f t="shared" si="1"/>
        <v>42</v>
      </c>
      <c r="B47" s="271" t="str">
        <f>'1. Detailed Budget POA'!C191</f>
        <v>Project management support for the IFMIS Working Group in the development of the business plan for IFMIS and Tax (business process and redesign) implementation by hiring consultancies in the following areas: (i) budget and treasury; (ii) IT ("?") hardware and business management support;  (iii) effective integration (or interfacing) of IFMIS, Sigtas and Asycuda systems; and (iv) management information dash boards/ policy triggers/ regular (standardized) and ad hoc queried reports.</v>
      </c>
      <c r="C47" s="51" t="s">
        <v>3</v>
      </c>
      <c r="D47" s="51" t="s">
        <v>0</v>
      </c>
      <c r="E47" s="17">
        <f>'1. Detailed Budget POA'!G191</f>
        <v>792000</v>
      </c>
      <c r="F47" s="17"/>
      <c r="G47" s="17">
        <f t="shared" si="0"/>
        <v>792000</v>
      </c>
      <c r="H47" s="268" t="s">
        <v>338</v>
      </c>
      <c r="I47" s="52" t="s">
        <v>262</v>
      </c>
      <c r="J47" s="52" t="s">
        <v>4</v>
      </c>
      <c r="K47" s="268" t="s">
        <v>70</v>
      </c>
      <c r="L47" s="268" t="s">
        <v>353</v>
      </c>
      <c r="M47" s="53"/>
      <c r="AL47" s="56"/>
      <c r="AM47" s="56"/>
      <c r="AN47" s="56"/>
      <c r="AO47" s="56"/>
      <c r="AP47" s="56"/>
      <c r="AQ47" s="56"/>
      <c r="AR47" s="56"/>
      <c r="AS47" s="56"/>
      <c r="AT47" s="56"/>
    </row>
    <row r="48" spans="1:46" ht="45" x14ac:dyDescent="0.25">
      <c r="A48" s="270">
        <f t="shared" si="1"/>
        <v>43</v>
      </c>
      <c r="B48" s="271" t="str">
        <f>'1. Detailed Budget POA'!C200</f>
        <v>Development and implementation of an improved Public Finance Management (PFM) legal framework, including:(i)  the finalization and support to approve the law; (ii) specific regulations; and (iii) corresponding operating manuals.</v>
      </c>
      <c r="C48" s="51" t="s">
        <v>3</v>
      </c>
      <c r="D48" s="51" t="s">
        <v>0</v>
      </c>
      <c r="E48" s="17">
        <f>'1. Detailed Budget POA'!G200</f>
        <v>198000</v>
      </c>
      <c r="F48" s="17"/>
      <c r="G48" s="17">
        <f t="shared" si="0"/>
        <v>198000</v>
      </c>
      <c r="H48" s="268" t="s">
        <v>339</v>
      </c>
      <c r="I48" s="52" t="s">
        <v>262</v>
      </c>
      <c r="J48" s="52" t="s">
        <v>4</v>
      </c>
      <c r="K48" s="268" t="s">
        <v>69</v>
      </c>
      <c r="L48" s="268" t="s">
        <v>315</v>
      </c>
      <c r="M48" s="53"/>
      <c r="AL48" s="56"/>
      <c r="AM48" s="56"/>
      <c r="AN48" s="56"/>
      <c r="AO48" s="56"/>
      <c r="AP48" s="56"/>
      <c r="AQ48" s="56"/>
      <c r="AR48" s="56"/>
      <c r="AS48" s="56"/>
      <c r="AT48" s="56"/>
    </row>
    <row r="49" spans="1:46" ht="30" x14ac:dyDescent="0.25">
      <c r="A49" s="270">
        <f t="shared" si="1"/>
        <v>44</v>
      </c>
      <c r="B49" s="271" t="str">
        <f>'1. Detailed Budget POA'!C209</f>
        <v>Evaluation of the capacity for public and private sector to engage in PPP  and preparation of a roadmap for the implementation of a PPP unit, including a proposal for a PPP business model</v>
      </c>
      <c r="C49" s="51" t="s">
        <v>3</v>
      </c>
      <c r="D49" s="51" t="s">
        <v>0</v>
      </c>
      <c r="E49" s="17">
        <f>'1. Detailed Budget POA'!G209</f>
        <v>99000</v>
      </c>
      <c r="F49" s="17"/>
      <c r="G49" s="17">
        <f t="shared" si="0"/>
        <v>99000</v>
      </c>
      <c r="H49" s="268" t="s">
        <v>340</v>
      </c>
      <c r="I49" s="52" t="s">
        <v>262</v>
      </c>
      <c r="J49" s="52" t="s">
        <v>4</v>
      </c>
      <c r="K49" s="268" t="s">
        <v>68</v>
      </c>
      <c r="L49" s="268" t="s">
        <v>315</v>
      </c>
      <c r="M49" s="53"/>
      <c r="AL49" s="56"/>
      <c r="AM49" s="56"/>
      <c r="AN49" s="56"/>
      <c r="AO49" s="56"/>
      <c r="AP49" s="56"/>
      <c r="AQ49" s="56"/>
      <c r="AR49" s="56"/>
      <c r="AS49" s="56"/>
      <c r="AT49" s="56"/>
    </row>
    <row r="50" spans="1:46" ht="30" x14ac:dyDescent="0.25">
      <c r="A50" s="270">
        <f t="shared" si="1"/>
        <v>45</v>
      </c>
      <c r="B50" s="271" t="str">
        <f>'1. Detailed Budget POA'!C210</f>
        <v>Development and implementation of a PPP model including: (i)  guidelines and manuals, and (ii) training for budget office staff in ministry of finance and responsible staff in line ministry</v>
      </c>
      <c r="C50" s="51" t="s">
        <v>3</v>
      </c>
      <c r="D50" s="51" t="s">
        <v>0</v>
      </c>
      <c r="E50" s="17">
        <f>'1. Detailed Budget POA'!G210</f>
        <v>297000</v>
      </c>
      <c r="F50" s="17"/>
      <c r="G50" s="17">
        <f t="shared" si="0"/>
        <v>297000</v>
      </c>
      <c r="H50" s="268" t="s">
        <v>340</v>
      </c>
      <c r="I50" s="52" t="s">
        <v>262</v>
      </c>
      <c r="J50" s="52" t="s">
        <v>4</v>
      </c>
      <c r="K50" s="268" t="s">
        <v>68</v>
      </c>
      <c r="L50" s="268" t="s">
        <v>315</v>
      </c>
      <c r="M50" s="53"/>
      <c r="AL50" s="56"/>
      <c r="AM50" s="56"/>
      <c r="AN50" s="56"/>
      <c r="AO50" s="56"/>
      <c r="AP50" s="56"/>
      <c r="AQ50" s="56"/>
      <c r="AR50" s="56"/>
      <c r="AS50" s="56"/>
      <c r="AT50" s="56"/>
    </row>
    <row r="51" spans="1:46" x14ac:dyDescent="0.25">
      <c r="A51" s="270">
        <f t="shared" si="1"/>
        <v>46</v>
      </c>
      <c r="B51" s="271" t="str">
        <f>'1. Detailed Budget POA'!C211</f>
        <v>Hiring of local consultants with expertise in Public Investment / PP operation</v>
      </c>
      <c r="C51" s="51" t="s">
        <v>3</v>
      </c>
      <c r="D51" s="51" t="s">
        <v>0</v>
      </c>
      <c r="E51" s="17">
        <f>'1. Detailed Budget POA'!G211</f>
        <v>369600</v>
      </c>
      <c r="F51" s="17"/>
      <c r="G51" s="17">
        <f t="shared" si="0"/>
        <v>369600</v>
      </c>
      <c r="H51" s="268" t="s">
        <v>340</v>
      </c>
      <c r="I51" s="52" t="s">
        <v>262</v>
      </c>
      <c r="J51" s="52" t="s">
        <v>4</v>
      </c>
      <c r="K51" s="268" t="s">
        <v>68</v>
      </c>
      <c r="L51" s="268" t="s">
        <v>315</v>
      </c>
      <c r="M51" s="53"/>
      <c r="AL51" s="56"/>
      <c r="AM51" s="56"/>
      <c r="AN51" s="56"/>
      <c r="AO51" s="56"/>
      <c r="AP51" s="56"/>
      <c r="AQ51" s="56"/>
      <c r="AR51" s="56"/>
      <c r="AS51" s="56"/>
      <c r="AT51" s="56"/>
    </row>
    <row r="52" spans="1:46" x14ac:dyDescent="0.25">
      <c r="A52" s="270">
        <f t="shared" si="1"/>
        <v>47</v>
      </c>
      <c r="B52" s="271" t="str">
        <f>'1. Detailed Budget POA'!C214</f>
        <v xml:space="preserve"> (a) a work plan; and (b) the framework for financing the pre-investment and feasibility studies.</v>
      </c>
      <c r="C52" s="51" t="s">
        <v>3</v>
      </c>
      <c r="D52" s="51" t="s">
        <v>0</v>
      </c>
      <c r="E52" s="17">
        <f>'1. Detailed Budget POA'!G214</f>
        <v>99000</v>
      </c>
      <c r="F52" s="17"/>
      <c r="G52" s="17">
        <f t="shared" si="0"/>
        <v>99000</v>
      </c>
      <c r="H52" s="268" t="s">
        <v>341</v>
      </c>
      <c r="I52" s="52" t="s">
        <v>262</v>
      </c>
      <c r="J52" s="52" t="s">
        <v>4</v>
      </c>
      <c r="K52" s="268" t="s">
        <v>68</v>
      </c>
      <c r="L52" s="268" t="s">
        <v>353</v>
      </c>
      <c r="M52" s="53"/>
      <c r="AL52" s="56"/>
      <c r="AM52" s="56"/>
      <c r="AN52" s="56"/>
      <c r="AO52" s="56"/>
      <c r="AP52" s="56"/>
      <c r="AQ52" s="56"/>
      <c r="AR52" s="56"/>
      <c r="AS52" s="56"/>
      <c r="AT52" s="56"/>
    </row>
    <row r="53" spans="1:46" x14ac:dyDescent="0.25">
      <c r="A53" s="270">
        <f t="shared" si="1"/>
        <v>48</v>
      </c>
      <c r="B53" s="274" t="str">
        <f>'1. Detailed Budget POA'!A220</f>
        <v>Total Project Administration</v>
      </c>
      <c r="C53" s="51" t="s">
        <v>3</v>
      </c>
      <c r="D53" s="51" t="s">
        <v>0</v>
      </c>
      <c r="E53" s="17">
        <f>'1. Detailed Budget POA'!G232</f>
        <v>1992164</v>
      </c>
      <c r="F53" s="17"/>
      <c r="G53" s="17">
        <f t="shared" si="0"/>
        <v>1992164</v>
      </c>
      <c r="H53" s="268" t="s">
        <v>342</v>
      </c>
      <c r="I53" s="52"/>
      <c r="J53" s="52" t="s">
        <v>4</v>
      </c>
      <c r="K53" s="268" t="s">
        <v>67</v>
      </c>
      <c r="L53" s="268" t="s">
        <v>353</v>
      </c>
      <c r="M53" s="53"/>
      <c r="AL53" s="56"/>
      <c r="AM53" s="56"/>
      <c r="AN53" s="56"/>
      <c r="AO53" s="56"/>
      <c r="AP53" s="56"/>
      <c r="AQ53" s="56"/>
      <c r="AR53" s="56"/>
      <c r="AS53" s="56"/>
      <c r="AT53" s="56"/>
    </row>
    <row r="54" spans="1:46" x14ac:dyDescent="0.25">
      <c r="A54" s="270">
        <f t="shared" si="1"/>
        <v>49</v>
      </c>
      <c r="B54" s="271"/>
      <c r="C54" s="51"/>
      <c r="D54" s="51"/>
      <c r="E54" s="17">
        <f>'1. Detailed Budget POA'!G164</f>
        <v>0</v>
      </c>
      <c r="F54" s="17"/>
      <c r="G54" s="17">
        <f t="shared" si="0"/>
        <v>0</v>
      </c>
      <c r="H54" s="51"/>
      <c r="I54" s="52"/>
      <c r="J54" s="52"/>
      <c r="K54" s="268"/>
      <c r="L54" s="268"/>
      <c r="M54" s="53"/>
      <c r="AL54" s="56"/>
      <c r="AM54" s="56"/>
      <c r="AN54" s="56"/>
      <c r="AO54" s="56"/>
      <c r="AP54" s="56"/>
      <c r="AQ54" s="56"/>
      <c r="AR54" s="56"/>
      <c r="AS54" s="56"/>
      <c r="AT54" s="56"/>
    </row>
    <row r="55" spans="1:46" x14ac:dyDescent="0.25">
      <c r="A55" s="270"/>
      <c r="B55" s="271"/>
      <c r="C55" s="51"/>
      <c r="D55" s="51"/>
      <c r="E55" s="17"/>
      <c r="F55" s="17"/>
      <c r="G55" s="17">
        <f t="shared" si="0"/>
        <v>0</v>
      </c>
      <c r="H55" s="51"/>
      <c r="I55" s="52"/>
      <c r="J55" s="52"/>
      <c r="K55" s="268"/>
      <c r="L55" s="268"/>
      <c r="M55" s="53"/>
      <c r="AL55" s="56"/>
      <c r="AM55" s="56"/>
      <c r="AN55" s="56"/>
      <c r="AO55" s="56"/>
      <c r="AP55" s="56"/>
      <c r="AQ55" s="56"/>
      <c r="AR55" s="56"/>
      <c r="AS55" s="56"/>
      <c r="AT55" s="56"/>
    </row>
    <row r="56" spans="1:46" x14ac:dyDescent="0.25">
      <c r="A56" s="270"/>
      <c r="B56" s="271"/>
      <c r="C56" s="51"/>
      <c r="D56" s="51"/>
      <c r="E56" s="17"/>
      <c r="F56" s="17"/>
      <c r="G56" s="17"/>
      <c r="H56" s="51"/>
      <c r="I56" s="52"/>
      <c r="J56" s="52"/>
      <c r="K56" s="51"/>
      <c r="L56" s="51"/>
      <c r="M56" s="53"/>
      <c r="AL56" s="56"/>
      <c r="AM56" s="56"/>
      <c r="AN56" s="56"/>
      <c r="AO56" s="56"/>
      <c r="AP56" s="56"/>
      <c r="AQ56" s="56"/>
      <c r="AR56" s="56"/>
      <c r="AS56" s="56"/>
      <c r="AT56" s="56"/>
    </row>
    <row r="57" spans="1:46" s="3" customFormat="1" x14ac:dyDescent="0.25">
      <c r="A57" s="15"/>
      <c r="B57" s="1"/>
      <c r="C57" s="22"/>
      <c r="D57" s="22"/>
      <c r="E57" s="195">
        <f>SUM(E6:E56)</f>
        <v>12196484</v>
      </c>
      <c r="F57" s="195">
        <f>SUM(F6:F56)</f>
        <v>0</v>
      </c>
      <c r="G57" s="195">
        <f>SUM(G6:G56)</f>
        <v>12196484</v>
      </c>
      <c r="H57" s="22"/>
      <c r="I57" s="275"/>
      <c r="J57" s="275"/>
      <c r="K57" s="22"/>
      <c r="L57" s="22"/>
      <c r="M57" s="276"/>
      <c r="N57" s="38"/>
      <c r="O57" s="38"/>
      <c r="P57" s="38"/>
      <c r="Q57" s="38"/>
      <c r="R57" s="38"/>
      <c r="S57" s="38"/>
      <c r="T57" s="38"/>
      <c r="U57" s="38"/>
      <c r="V57" s="38"/>
      <c r="W57" s="38"/>
      <c r="X57" s="38"/>
      <c r="Y57" s="38"/>
      <c r="Z57" s="38"/>
      <c r="AA57" s="38"/>
      <c r="AB57" s="38"/>
      <c r="AC57" s="38"/>
      <c r="AD57" s="38"/>
      <c r="AE57" s="38"/>
      <c r="AF57" s="38"/>
      <c r="AG57" s="38"/>
      <c r="AH57" s="38"/>
      <c r="AI57" s="38"/>
      <c r="AJ57" s="38"/>
      <c r="AK57" s="38"/>
      <c r="AL57" s="38"/>
      <c r="AM57" s="38"/>
      <c r="AN57" s="38"/>
      <c r="AO57" s="38"/>
      <c r="AP57" s="38"/>
      <c r="AQ57" s="38"/>
      <c r="AR57" s="38"/>
      <c r="AS57" s="38"/>
      <c r="AT57" s="38"/>
    </row>
    <row r="58" spans="1:46" s="4" customFormat="1" ht="18.75" x14ac:dyDescent="0.25">
      <c r="A58" s="392" t="s">
        <v>18</v>
      </c>
      <c r="B58" s="392"/>
      <c r="C58" s="392"/>
      <c r="D58" s="392"/>
      <c r="E58" s="392"/>
      <c r="F58" s="392"/>
      <c r="G58" s="392"/>
      <c r="H58" s="392"/>
      <c r="I58" s="392"/>
      <c r="J58" s="392"/>
      <c r="K58" s="392"/>
      <c r="L58" s="392"/>
      <c r="M58" s="392"/>
      <c r="N58" s="39"/>
      <c r="O58" s="39"/>
      <c r="P58" s="39"/>
      <c r="Q58" s="39"/>
      <c r="R58" s="39"/>
      <c r="S58" s="39"/>
      <c r="T58" s="39"/>
      <c r="U58" s="39"/>
      <c r="V58" s="39"/>
      <c r="W58" s="39"/>
      <c r="X58" s="39"/>
      <c r="Y58" s="39"/>
      <c r="Z58" s="39"/>
      <c r="AA58" s="39"/>
      <c r="AB58" s="39"/>
      <c r="AC58" s="39"/>
      <c r="AD58" s="39"/>
      <c r="AE58" s="39"/>
      <c r="AF58" s="39"/>
      <c r="AG58" s="39"/>
      <c r="AH58" s="39"/>
      <c r="AI58" s="39"/>
      <c r="AJ58" s="39"/>
      <c r="AK58" s="39"/>
    </row>
    <row r="59" spans="1:46" s="58" customFormat="1" ht="31.5" x14ac:dyDescent="0.25">
      <c r="A59" s="15">
        <v>1</v>
      </c>
      <c r="B59" s="1" t="str">
        <f>'[2]1. Detailed Budget POA'!$H$7</f>
        <v xml:space="preserve">Technical assistance for the development of the following management instruments: 
organizational design based upon functions not tax type; </v>
      </c>
      <c r="C59" s="22" t="s">
        <v>3</v>
      </c>
      <c r="D59" s="22" t="s">
        <v>0</v>
      </c>
      <c r="E59" s="17">
        <f>'[2]1. Detailed Budget POA'!$L$7</f>
        <v>61063.199999999997</v>
      </c>
      <c r="F59" s="17"/>
      <c r="G59" s="9">
        <f>E59</f>
        <v>61063.199999999997</v>
      </c>
      <c r="H59" s="269" t="s">
        <v>318</v>
      </c>
      <c r="I59" s="19" t="s">
        <v>262</v>
      </c>
      <c r="J59" s="19" t="s">
        <v>28</v>
      </c>
      <c r="K59" s="268" t="s">
        <v>67</v>
      </c>
      <c r="L59" s="268" t="s">
        <v>316</v>
      </c>
      <c r="M59" s="1"/>
      <c r="N59" s="56"/>
      <c r="O59" s="56"/>
      <c r="P59" s="56"/>
      <c r="Q59" s="56"/>
      <c r="R59" s="56"/>
      <c r="S59" s="56"/>
      <c r="T59" s="56"/>
      <c r="U59" s="56"/>
      <c r="V59" s="56"/>
      <c r="W59" s="56"/>
      <c r="X59" s="56"/>
      <c r="Y59" s="56"/>
      <c r="Z59" s="56"/>
      <c r="AA59" s="56"/>
      <c r="AB59" s="56"/>
      <c r="AC59" s="56"/>
      <c r="AD59" s="56"/>
      <c r="AE59" s="56"/>
      <c r="AF59" s="56"/>
      <c r="AG59" s="56"/>
      <c r="AH59" s="56"/>
      <c r="AI59" s="56"/>
      <c r="AJ59" s="56"/>
      <c r="AK59" s="56"/>
    </row>
    <row r="60" spans="1:46" s="58" customFormat="1" x14ac:dyDescent="0.25">
      <c r="A60" s="15">
        <f>A59+1</f>
        <v>2</v>
      </c>
      <c r="B60" s="1" t="str">
        <f>'[2]1. Detailed Budget POA'!$H$8</f>
        <v>SARA definition, strategic plan and roadmap for the implementation;</v>
      </c>
      <c r="C60" s="22" t="s">
        <v>3</v>
      </c>
      <c r="D60" s="22" t="s">
        <v>0</v>
      </c>
      <c r="E60" s="17">
        <f>'[2]1. Detailed Budget POA'!$L$8</f>
        <v>81417.599999999991</v>
      </c>
      <c r="F60" s="17"/>
      <c r="G60" s="9">
        <f t="shared" ref="G60:G99" si="4">E60</f>
        <v>81417.599999999991</v>
      </c>
      <c r="H60" s="269" t="s">
        <v>318</v>
      </c>
      <c r="I60" s="19" t="s">
        <v>262</v>
      </c>
      <c r="J60" s="19" t="s">
        <v>28</v>
      </c>
      <c r="K60" s="268" t="s">
        <v>67</v>
      </c>
      <c r="L60" s="268" t="s">
        <v>316</v>
      </c>
      <c r="M60" s="1"/>
      <c r="N60" s="56"/>
      <c r="O60" s="56"/>
      <c r="P60" s="56"/>
      <c r="Q60" s="56"/>
      <c r="R60" s="56"/>
      <c r="S60" s="56"/>
      <c r="T60" s="56"/>
      <c r="U60" s="56"/>
      <c r="V60" s="56"/>
      <c r="W60" s="56"/>
      <c r="X60" s="56"/>
      <c r="Y60" s="56"/>
      <c r="Z60" s="56"/>
      <c r="AA60" s="56"/>
      <c r="AB60" s="56"/>
      <c r="AC60" s="56"/>
      <c r="AD60" s="56"/>
      <c r="AE60" s="56"/>
      <c r="AF60" s="56"/>
      <c r="AG60" s="56"/>
      <c r="AH60" s="56"/>
      <c r="AI60" s="56"/>
      <c r="AJ60" s="56"/>
      <c r="AK60" s="56"/>
    </row>
    <row r="61" spans="1:46" s="58" customFormat="1" x14ac:dyDescent="0.25">
      <c r="A61" s="15">
        <f t="shared" ref="A61:A98" si="5">A60+1</f>
        <v>3</v>
      </c>
      <c r="B61" s="1" t="str">
        <f>'[2]1. Detailed Budget POA'!$H$9</f>
        <v xml:space="preserve">human resources regime for SARA </v>
      </c>
      <c r="C61" s="22" t="s">
        <v>3</v>
      </c>
      <c r="D61" s="22" t="s">
        <v>0</v>
      </c>
      <c r="E61" s="17">
        <f>'[2]1. Detailed Budget POA'!$L$9</f>
        <v>49500</v>
      </c>
      <c r="F61" s="17"/>
      <c r="G61" s="9">
        <f t="shared" si="4"/>
        <v>49500</v>
      </c>
      <c r="H61" s="269" t="s">
        <v>318</v>
      </c>
      <c r="I61" s="19" t="s">
        <v>262</v>
      </c>
      <c r="J61" s="19" t="s">
        <v>28</v>
      </c>
      <c r="K61" s="268" t="s">
        <v>67</v>
      </c>
      <c r="L61" s="268" t="s">
        <v>316</v>
      </c>
      <c r="M61" s="1"/>
      <c r="N61" s="56"/>
      <c r="O61" s="56"/>
      <c r="P61" s="56"/>
      <c r="Q61" s="56"/>
      <c r="R61" s="56"/>
      <c r="S61" s="56"/>
      <c r="T61" s="56"/>
      <c r="U61" s="56"/>
      <c r="V61" s="56"/>
      <c r="W61" s="56"/>
      <c r="X61" s="56"/>
      <c r="Y61" s="56"/>
      <c r="Z61" s="56"/>
      <c r="AA61" s="56"/>
      <c r="AB61" s="56"/>
      <c r="AC61" s="56"/>
      <c r="AD61" s="56"/>
      <c r="AE61" s="56"/>
      <c r="AF61" s="56"/>
      <c r="AG61" s="56"/>
      <c r="AH61" s="56"/>
      <c r="AI61" s="56"/>
      <c r="AJ61" s="56"/>
      <c r="AK61" s="56"/>
    </row>
    <row r="62" spans="1:46" s="58" customFormat="1" x14ac:dyDescent="0.25">
      <c r="A62" s="15">
        <f t="shared" si="5"/>
        <v>4</v>
      </c>
      <c r="B62" s="1" t="str">
        <f>'[2]1. Detailed Budget POA'!$H$10</f>
        <v>performance measurement and management regime;</v>
      </c>
      <c r="C62" s="22" t="s">
        <v>3</v>
      </c>
      <c r="D62" s="22" t="s">
        <v>0</v>
      </c>
      <c r="E62" s="17">
        <f>'[2]1. Detailed Budget POA'!$L$10</f>
        <v>49500</v>
      </c>
      <c r="F62" s="17"/>
      <c r="G62" s="9">
        <f t="shared" si="4"/>
        <v>49500</v>
      </c>
      <c r="H62" s="269" t="s">
        <v>318</v>
      </c>
      <c r="I62" s="19" t="s">
        <v>262</v>
      </c>
      <c r="J62" s="19" t="s">
        <v>28</v>
      </c>
      <c r="K62" s="268" t="s">
        <v>67</v>
      </c>
      <c r="L62" s="268" t="s">
        <v>316</v>
      </c>
      <c r="M62" s="1"/>
      <c r="N62" s="56"/>
      <c r="O62" s="56"/>
      <c r="P62" s="56"/>
      <c r="Q62" s="56"/>
      <c r="R62" s="56"/>
      <c r="S62" s="56"/>
      <c r="T62" s="56"/>
      <c r="U62" s="56"/>
      <c r="V62" s="56"/>
      <c r="W62" s="56"/>
      <c r="X62" s="56"/>
      <c r="Y62" s="56"/>
      <c r="Z62" s="56"/>
      <c r="AA62" s="56"/>
      <c r="AB62" s="56"/>
      <c r="AC62" s="56"/>
      <c r="AD62" s="56"/>
      <c r="AE62" s="56"/>
      <c r="AF62" s="56"/>
      <c r="AG62" s="56"/>
      <c r="AH62" s="56"/>
      <c r="AI62" s="56"/>
      <c r="AJ62" s="56"/>
      <c r="AK62" s="56"/>
    </row>
    <row r="63" spans="1:46" s="58" customFormat="1" ht="31.5" x14ac:dyDescent="0.25">
      <c r="A63" s="15">
        <f t="shared" si="5"/>
        <v>5</v>
      </c>
      <c r="B63" s="1" t="str">
        <f>'[2]1. Detailed Budget POA'!$H$12</f>
        <v xml:space="preserve">Train the taxpayer service staff on service techniques, develop procedure manuals and FAQ support tools, and train staff on the use of the Internet-based service system.  </v>
      </c>
      <c r="C63" s="22" t="s">
        <v>3</v>
      </c>
      <c r="D63" s="22" t="s">
        <v>0</v>
      </c>
      <c r="E63" s="17">
        <f>'[2]1. Detailed Budget POA'!$L$12</f>
        <v>61063.199999999997</v>
      </c>
      <c r="F63" s="17"/>
      <c r="G63" s="9">
        <f t="shared" si="4"/>
        <v>61063.199999999997</v>
      </c>
      <c r="H63" s="269" t="s">
        <v>319</v>
      </c>
      <c r="I63" s="19" t="s">
        <v>262</v>
      </c>
      <c r="J63" s="19" t="s">
        <v>28</v>
      </c>
      <c r="K63" s="268" t="s">
        <v>67</v>
      </c>
      <c r="L63" s="268" t="s">
        <v>316</v>
      </c>
      <c r="M63" s="1"/>
      <c r="N63" s="56"/>
      <c r="O63" s="56"/>
      <c r="P63" s="56"/>
      <c r="Q63" s="56"/>
      <c r="R63" s="56"/>
      <c r="S63" s="56"/>
      <c r="T63" s="56"/>
      <c r="U63" s="56"/>
      <c r="V63" s="56"/>
      <c r="W63" s="56"/>
      <c r="X63" s="56"/>
      <c r="Y63" s="56"/>
      <c r="Z63" s="56"/>
      <c r="AA63" s="56"/>
      <c r="AB63" s="56"/>
      <c r="AC63" s="56"/>
      <c r="AD63" s="56"/>
      <c r="AE63" s="56"/>
      <c r="AF63" s="56"/>
      <c r="AG63" s="56"/>
      <c r="AH63" s="56"/>
      <c r="AI63" s="56"/>
      <c r="AJ63" s="56"/>
      <c r="AK63" s="56"/>
    </row>
    <row r="64" spans="1:46" s="58" customFormat="1" ht="47.25" x14ac:dyDescent="0.25">
      <c r="A64" s="15">
        <f t="shared" si="5"/>
        <v>6</v>
      </c>
      <c r="B64" s="1" t="str">
        <f>'[2]1. Detailed Budget POA'!$H$13</f>
        <v>Procure/Develop and implement an Internet-based system to provide most of the OTA services on-line without requiring the taxpayer to come to the OTA offices using SIGTAS functions were possible.</v>
      </c>
      <c r="C64" s="22" t="s">
        <v>3</v>
      </c>
      <c r="D64" s="22" t="s">
        <v>0</v>
      </c>
      <c r="E64" s="17">
        <f>'[2]1. Detailed Budget POA'!$L$13</f>
        <v>36960</v>
      </c>
      <c r="F64" s="17"/>
      <c r="G64" s="9">
        <f t="shared" si="4"/>
        <v>36960</v>
      </c>
      <c r="H64" s="269" t="s">
        <v>319</v>
      </c>
      <c r="I64" s="19" t="s">
        <v>262</v>
      </c>
      <c r="J64" s="19" t="s">
        <v>28</v>
      </c>
      <c r="K64" s="268" t="s">
        <v>67</v>
      </c>
      <c r="L64" s="268" t="s">
        <v>316</v>
      </c>
      <c r="M64" s="1"/>
      <c r="N64" s="56"/>
      <c r="O64" s="56"/>
      <c r="P64" s="56"/>
      <c r="Q64" s="56"/>
      <c r="R64" s="56"/>
      <c r="S64" s="56"/>
      <c r="T64" s="56"/>
      <c r="U64" s="56"/>
      <c r="V64" s="56"/>
      <c r="W64" s="56"/>
      <c r="X64" s="56"/>
      <c r="Y64" s="56"/>
      <c r="Z64" s="56"/>
      <c r="AA64" s="56"/>
      <c r="AB64" s="56"/>
      <c r="AC64" s="56"/>
      <c r="AD64" s="56"/>
      <c r="AE64" s="56"/>
      <c r="AF64" s="56"/>
      <c r="AG64" s="56"/>
      <c r="AH64" s="56"/>
      <c r="AI64" s="56"/>
      <c r="AJ64" s="56"/>
      <c r="AK64" s="56"/>
    </row>
    <row r="65" spans="1:46" s="58" customFormat="1" ht="47.25" x14ac:dyDescent="0.25">
      <c r="A65" s="15">
        <f t="shared" si="5"/>
        <v>7</v>
      </c>
      <c r="B65" s="1" t="str">
        <f>'[2]1. Detailed Budget POA'!$H$14</f>
        <v>Contract an external company to undertake annual taxpayer surveys to measure taxpayer satisfaction.
(2 months per year over the 5 years)</v>
      </c>
      <c r="C65" s="22" t="s">
        <v>3</v>
      </c>
      <c r="D65" s="22" t="s">
        <v>0</v>
      </c>
      <c r="E65" s="17">
        <f>'[2]1. Detailed Budget POA'!$L$14</f>
        <v>46200</v>
      </c>
      <c r="F65" s="17"/>
      <c r="G65" s="9">
        <f t="shared" ref="G65" si="6">E65</f>
        <v>46200</v>
      </c>
      <c r="H65" s="269" t="s">
        <v>319</v>
      </c>
      <c r="I65" s="19" t="s">
        <v>262</v>
      </c>
      <c r="J65" s="19" t="s">
        <v>28</v>
      </c>
      <c r="K65" s="268" t="s">
        <v>67</v>
      </c>
      <c r="L65" s="268" t="s">
        <v>316</v>
      </c>
      <c r="M65" s="50"/>
      <c r="N65" s="56"/>
      <c r="O65" s="56"/>
      <c r="P65" s="56"/>
      <c r="Q65" s="56"/>
      <c r="R65" s="56"/>
      <c r="S65" s="56"/>
      <c r="T65" s="56"/>
      <c r="U65" s="56"/>
      <c r="V65" s="56"/>
      <c r="W65" s="56"/>
      <c r="X65" s="56"/>
      <c r="Y65" s="56"/>
      <c r="Z65" s="56"/>
      <c r="AA65" s="56"/>
      <c r="AB65" s="56"/>
      <c r="AC65" s="56"/>
      <c r="AD65" s="56"/>
      <c r="AE65" s="56"/>
      <c r="AF65" s="56"/>
      <c r="AG65" s="56"/>
      <c r="AH65" s="56"/>
      <c r="AI65" s="56"/>
      <c r="AJ65" s="56"/>
      <c r="AK65" s="56"/>
    </row>
    <row r="66" spans="1:46" s="58" customFormat="1" ht="78.75" x14ac:dyDescent="0.25">
      <c r="A66" s="15">
        <f t="shared" si="5"/>
        <v>8</v>
      </c>
      <c r="B66" s="1" t="str">
        <f>'[2]1. Detailed Budget POA'!$H$16</f>
        <v>International consultant:  to assist in the implementation of the new TIN with VAT and gradually applied to Customs and to direct taxes; justification to expand use into other financial areas (eg:  for real estate transactions, financial transactions ...).  Advising on customization of SIGTAS for registration.
This includes developing training programs via a train-the-trainer process</v>
      </c>
      <c r="C66" s="22" t="s">
        <v>3</v>
      </c>
      <c r="D66" s="22" t="s">
        <v>0</v>
      </c>
      <c r="E66" s="17">
        <f>'[2]1. Detailed Budget POA'!$L$16</f>
        <v>99000</v>
      </c>
      <c r="F66" s="17"/>
      <c r="G66" s="9">
        <f t="shared" si="4"/>
        <v>99000</v>
      </c>
      <c r="H66" s="269" t="s">
        <v>344</v>
      </c>
      <c r="I66" s="19" t="s">
        <v>262</v>
      </c>
      <c r="J66" s="19" t="s">
        <v>28</v>
      </c>
      <c r="K66" s="268" t="s">
        <v>67</v>
      </c>
      <c r="L66" s="268" t="s">
        <v>315</v>
      </c>
      <c r="M66" s="50"/>
      <c r="N66" s="56"/>
      <c r="O66" s="56"/>
      <c r="P66" s="56"/>
      <c r="Q66" s="56"/>
      <c r="R66" s="56"/>
      <c r="S66" s="56"/>
      <c r="T66" s="56"/>
      <c r="U66" s="56"/>
      <c r="V66" s="56"/>
      <c r="W66" s="56"/>
      <c r="X66" s="56"/>
      <c r="Y66" s="56"/>
      <c r="Z66" s="56"/>
      <c r="AA66" s="56"/>
      <c r="AB66" s="56"/>
      <c r="AC66" s="56"/>
      <c r="AD66" s="56"/>
      <c r="AE66" s="56"/>
      <c r="AF66" s="56"/>
      <c r="AG66" s="56"/>
      <c r="AH66" s="56"/>
      <c r="AI66" s="56"/>
      <c r="AJ66" s="56"/>
      <c r="AK66" s="56"/>
    </row>
    <row r="67" spans="1:46" ht="31.5" x14ac:dyDescent="0.25">
      <c r="A67" s="15">
        <f t="shared" si="5"/>
        <v>9</v>
      </c>
      <c r="B67" s="1" t="str">
        <f>'[2]1. Detailed Budget POA'!$H$17</f>
        <v>Local consulting technical assistance:   to assist the international consultant in training and TIN design/implementation.</v>
      </c>
      <c r="C67" s="22" t="s">
        <v>3</v>
      </c>
      <c r="D67" s="22" t="s">
        <v>0</v>
      </c>
      <c r="E67" s="17">
        <f>'[2]1. Detailed Budget POA'!$L$17</f>
        <v>18480</v>
      </c>
      <c r="F67" s="17"/>
      <c r="G67" s="9">
        <f t="shared" si="4"/>
        <v>18480</v>
      </c>
      <c r="H67" s="269" t="s">
        <v>344</v>
      </c>
      <c r="I67" s="19" t="s">
        <v>262</v>
      </c>
      <c r="J67" s="19" t="s">
        <v>28</v>
      </c>
      <c r="K67" s="268" t="s">
        <v>67</v>
      </c>
      <c r="L67" s="268" t="s">
        <v>315</v>
      </c>
      <c r="M67" s="1"/>
      <c r="AL67" s="56"/>
      <c r="AM67" s="56"/>
      <c r="AN67" s="56"/>
      <c r="AO67" s="56"/>
      <c r="AP67" s="56"/>
      <c r="AQ67" s="56"/>
      <c r="AR67" s="56"/>
      <c r="AS67" s="56"/>
      <c r="AT67" s="56"/>
    </row>
    <row r="68" spans="1:46" ht="31.5" x14ac:dyDescent="0.25">
      <c r="A68" s="15">
        <f t="shared" si="5"/>
        <v>10</v>
      </c>
      <c r="B68" s="1" t="str">
        <f>'[2]1. Detailed Budget POA'!$H$18</f>
        <v>Procure technical assistance from SIGTAS vendor to implement system changes to accommodate inactive taxpayers.</v>
      </c>
      <c r="C68" s="22" t="s">
        <v>3</v>
      </c>
      <c r="D68" s="22" t="s">
        <v>0</v>
      </c>
      <c r="E68" s="17">
        <f>'[2]1. Detailed Budget POA'!$L$18</f>
        <v>50000</v>
      </c>
      <c r="F68" s="17"/>
      <c r="G68" s="9">
        <f t="shared" si="4"/>
        <v>50000</v>
      </c>
      <c r="H68" s="269" t="s">
        <v>344</v>
      </c>
      <c r="I68" s="19" t="s">
        <v>262</v>
      </c>
      <c r="J68" s="19" t="s">
        <v>28</v>
      </c>
      <c r="K68" s="268" t="s">
        <v>67</v>
      </c>
      <c r="L68" s="268" t="s">
        <v>315</v>
      </c>
      <c r="M68" s="1"/>
      <c r="AL68" s="56"/>
      <c r="AM68" s="56"/>
      <c r="AN68" s="56"/>
      <c r="AO68" s="56"/>
      <c r="AP68" s="56"/>
      <c r="AQ68" s="56"/>
      <c r="AR68" s="56"/>
      <c r="AS68" s="56"/>
      <c r="AT68" s="56"/>
    </row>
    <row r="69" spans="1:46" ht="47.25" x14ac:dyDescent="0.25">
      <c r="A69" s="15">
        <f t="shared" si="5"/>
        <v>11</v>
      </c>
      <c r="B69" s="1" t="str">
        <f>'[2]1. Detailed Budget POA'!$H$20</f>
        <v>International consultant to provide technical assistance to designed and implemented new tax return (declaration) processing following international best practices
This includes developing training programs via a train-the-trainer process.</v>
      </c>
      <c r="C69" s="22" t="s">
        <v>3</v>
      </c>
      <c r="D69" s="22" t="s">
        <v>0</v>
      </c>
      <c r="E69" s="17">
        <f>'[2]1. Detailed Budget POA'!$L$20</f>
        <v>122126.39999999999</v>
      </c>
      <c r="F69" s="17"/>
      <c r="G69" s="9">
        <f t="shared" si="4"/>
        <v>122126.39999999999</v>
      </c>
      <c r="H69" s="269" t="s">
        <v>320</v>
      </c>
      <c r="I69" s="19" t="s">
        <v>262</v>
      </c>
      <c r="J69" s="19" t="s">
        <v>28</v>
      </c>
      <c r="K69" s="268" t="s">
        <v>68</v>
      </c>
      <c r="L69" s="268" t="s">
        <v>353</v>
      </c>
      <c r="M69" s="1"/>
      <c r="AL69" s="56"/>
      <c r="AM69" s="56"/>
      <c r="AN69" s="56"/>
      <c r="AO69" s="56"/>
      <c r="AP69" s="56"/>
      <c r="AQ69" s="56"/>
      <c r="AR69" s="56"/>
      <c r="AS69" s="56"/>
      <c r="AT69" s="56"/>
    </row>
    <row r="70" spans="1:46" ht="31.5" x14ac:dyDescent="0.25">
      <c r="A70" s="15">
        <f t="shared" si="5"/>
        <v>12</v>
      </c>
      <c r="B70" s="1" t="str">
        <f>'[2]1. Detailed Budget POA'!$H$21</f>
        <v>Local contractors to provide technical assistance to designed and implemented new tax return (declaration) processing following international best practices.</v>
      </c>
      <c r="C70" s="22" t="s">
        <v>3</v>
      </c>
      <c r="D70" s="22" t="s">
        <v>0</v>
      </c>
      <c r="E70" s="17">
        <f>'[2]1. Detailed Budget POA'!$L$21</f>
        <v>18480</v>
      </c>
      <c r="F70" s="17"/>
      <c r="G70" s="9">
        <f t="shared" si="4"/>
        <v>18480</v>
      </c>
      <c r="H70" s="269" t="s">
        <v>320</v>
      </c>
      <c r="I70" s="19" t="s">
        <v>262</v>
      </c>
      <c r="J70" s="19" t="s">
        <v>28</v>
      </c>
      <c r="K70" s="268" t="s">
        <v>68</v>
      </c>
      <c r="L70" s="268" t="s">
        <v>353</v>
      </c>
      <c r="M70" s="1"/>
      <c r="AL70" s="56"/>
      <c r="AM70" s="56"/>
      <c r="AN70" s="56"/>
      <c r="AO70" s="56"/>
      <c r="AP70" s="56"/>
      <c r="AQ70" s="56"/>
      <c r="AR70" s="56"/>
      <c r="AS70" s="56"/>
      <c r="AT70" s="56"/>
    </row>
    <row r="71" spans="1:46" ht="63" x14ac:dyDescent="0.25">
      <c r="A71" s="15">
        <f t="shared" si="5"/>
        <v>13</v>
      </c>
      <c r="B71" s="1" t="str">
        <f>'[2]1. Detailed Budget POA'!$H$25</f>
        <v>procure international local technical assistance to design an implement new tax payment processing through the banking system following international best practices adapted to the Suriname banking environment and advise on localization of SIGTAS for payment processing.
This includes developing training programs via a train-the-trainer process.</v>
      </c>
      <c r="C71" s="22" t="s">
        <v>3</v>
      </c>
      <c r="D71" s="22" t="s">
        <v>0</v>
      </c>
      <c r="E71" s="17">
        <f>'[2]1. Detailed Budget POA'!$L$25</f>
        <v>81417.599999999991</v>
      </c>
      <c r="F71" s="17"/>
      <c r="G71" s="9">
        <f t="shared" si="4"/>
        <v>81417.599999999991</v>
      </c>
      <c r="H71" s="269" t="s">
        <v>345</v>
      </c>
      <c r="I71" s="19" t="s">
        <v>262</v>
      </c>
      <c r="J71" s="19" t="s">
        <v>28</v>
      </c>
      <c r="K71" s="268" t="s">
        <v>68</v>
      </c>
      <c r="L71" s="268" t="s">
        <v>353</v>
      </c>
      <c r="M71" s="1"/>
      <c r="AL71" s="56"/>
      <c r="AM71" s="56"/>
      <c r="AN71" s="56"/>
      <c r="AO71" s="56"/>
      <c r="AP71" s="56"/>
      <c r="AQ71" s="56"/>
      <c r="AR71" s="56"/>
      <c r="AS71" s="56"/>
      <c r="AT71" s="56"/>
    </row>
    <row r="72" spans="1:46" ht="47.25" x14ac:dyDescent="0.25">
      <c r="A72" s="15">
        <f t="shared" si="5"/>
        <v>14</v>
      </c>
      <c r="B72" s="1" t="str">
        <f>'[2]1. Detailed Budget POA'!$H$26</f>
        <v>acquire local technical assistance to design an implement new tax payment processing through the banking system following international best practices adapted to the Suriname banking environment.</v>
      </c>
      <c r="C72" s="22" t="s">
        <v>3</v>
      </c>
      <c r="D72" s="22" t="s">
        <v>0</v>
      </c>
      <c r="E72" s="17">
        <f>'[2]1. Detailed Budget POA'!$L$26</f>
        <v>18480</v>
      </c>
      <c r="F72" s="17"/>
      <c r="G72" s="9">
        <f t="shared" si="4"/>
        <v>18480</v>
      </c>
      <c r="H72" s="269" t="s">
        <v>345</v>
      </c>
      <c r="I72" s="19" t="s">
        <v>262</v>
      </c>
      <c r="J72" s="19" t="s">
        <v>28</v>
      </c>
      <c r="K72" s="268" t="s">
        <v>68</v>
      </c>
      <c r="L72" s="268" t="s">
        <v>353</v>
      </c>
      <c r="M72" s="1"/>
      <c r="AL72" s="56"/>
      <c r="AM72" s="56"/>
      <c r="AN72" s="56"/>
      <c r="AO72" s="56"/>
      <c r="AP72" s="56"/>
      <c r="AQ72" s="56"/>
      <c r="AR72" s="56"/>
      <c r="AS72" s="56"/>
      <c r="AT72" s="56"/>
    </row>
    <row r="73" spans="1:46" ht="31.5" x14ac:dyDescent="0.25">
      <c r="A73" s="15">
        <f t="shared" si="5"/>
        <v>15</v>
      </c>
      <c r="B73" s="1" t="str">
        <f>'[2]1. Detailed Budget POA'!$H$27</f>
        <v>Technical assistance from the SIGTAS vendor to modify their payment module to interface with the e-payments facility</v>
      </c>
      <c r="C73" s="22" t="s">
        <v>3</v>
      </c>
      <c r="D73" s="22" t="s">
        <v>0</v>
      </c>
      <c r="E73" s="17">
        <f>'[2]1. Detailed Budget POA'!$L$27</f>
        <v>50000</v>
      </c>
      <c r="F73" s="17"/>
      <c r="G73" s="9">
        <f t="shared" si="4"/>
        <v>50000</v>
      </c>
      <c r="H73" s="269" t="s">
        <v>345</v>
      </c>
      <c r="I73" s="19" t="s">
        <v>262</v>
      </c>
      <c r="J73" s="19" t="s">
        <v>28</v>
      </c>
      <c r="K73" s="268" t="s">
        <v>68</v>
      </c>
      <c r="L73" s="268" t="s">
        <v>353</v>
      </c>
      <c r="M73" s="1"/>
      <c r="AL73" s="56"/>
      <c r="AM73" s="56"/>
      <c r="AN73" s="56"/>
      <c r="AO73" s="56"/>
      <c r="AP73" s="56"/>
      <c r="AQ73" s="56"/>
      <c r="AR73" s="56"/>
      <c r="AS73" s="56"/>
      <c r="AT73" s="56"/>
    </row>
    <row r="74" spans="1:46" ht="63" x14ac:dyDescent="0.25">
      <c r="A74" s="15">
        <f t="shared" si="5"/>
        <v>16</v>
      </c>
      <c r="B74" s="1" t="str">
        <f>'[2]1. Detailed Budget POA'!$H$29</f>
        <v>acquire international consultant technical assistance to review existing stop filing and refund processing and design and implement new processes following international best practices; and advise on localization of SIGTAS for stop filing and refund processing.
This includes developing training programs via a train-the-trainer process.</v>
      </c>
      <c r="C74" s="22" t="s">
        <v>3</v>
      </c>
      <c r="D74" s="22" t="s">
        <v>0</v>
      </c>
      <c r="E74" s="17">
        <f>'[2]1. Detailed Budget POA'!$L$29</f>
        <v>66000</v>
      </c>
      <c r="F74" s="17"/>
      <c r="G74" s="9">
        <f t="shared" si="4"/>
        <v>66000</v>
      </c>
      <c r="H74" s="269" t="s">
        <v>346</v>
      </c>
      <c r="I74" s="19" t="s">
        <v>262</v>
      </c>
      <c r="J74" s="19" t="s">
        <v>28</v>
      </c>
      <c r="K74" s="268" t="s">
        <v>68</v>
      </c>
      <c r="L74" s="268" t="s">
        <v>353</v>
      </c>
      <c r="M74" s="1"/>
      <c r="AL74" s="56"/>
      <c r="AM74" s="56"/>
      <c r="AN74" s="56"/>
      <c r="AO74" s="56"/>
      <c r="AP74" s="56"/>
      <c r="AQ74" s="56"/>
      <c r="AR74" s="56"/>
      <c r="AS74" s="56"/>
      <c r="AT74" s="56"/>
    </row>
    <row r="75" spans="1:46" ht="31.5" x14ac:dyDescent="0.25">
      <c r="A75" s="15">
        <f t="shared" si="5"/>
        <v>17</v>
      </c>
      <c r="B75" s="1" t="str">
        <f>'[2]1. Detailed Budget POA'!$H$30</f>
        <v>local contracted technical assistance to review existing stop filing and refund processing and design and implement new processes following international best practices.</v>
      </c>
      <c r="C75" s="22" t="s">
        <v>3</v>
      </c>
      <c r="D75" s="22" t="s">
        <v>0</v>
      </c>
      <c r="E75" s="17">
        <f>'[2]1. Detailed Budget POA'!$L$30</f>
        <v>13860</v>
      </c>
      <c r="F75" s="17"/>
      <c r="G75" s="9">
        <f t="shared" si="4"/>
        <v>13860</v>
      </c>
      <c r="H75" s="269" t="s">
        <v>346</v>
      </c>
      <c r="I75" s="19" t="s">
        <v>262</v>
      </c>
      <c r="J75" s="19" t="s">
        <v>28</v>
      </c>
      <c r="K75" s="268" t="s">
        <v>68</v>
      </c>
      <c r="L75" s="268" t="s">
        <v>353</v>
      </c>
      <c r="M75" s="1"/>
      <c r="AL75" s="56"/>
      <c r="AM75" s="56"/>
      <c r="AN75" s="56"/>
      <c r="AO75" s="56"/>
      <c r="AP75" s="56"/>
      <c r="AQ75" s="56"/>
      <c r="AR75" s="56"/>
      <c r="AS75" s="56"/>
      <c r="AT75" s="56"/>
    </row>
    <row r="76" spans="1:46" ht="63" x14ac:dyDescent="0.25">
      <c r="A76" s="15">
        <f t="shared" si="5"/>
        <v>18</v>
      </c>
      <c r="B76" s="1" t="str">
        <f>'[2]1. Detailed Budget POA'!$H$33</f>
        <v>International technical assistance to review current tax audit procedures and to design and implement new procedures utilizing international best practices adopted for the ATO environment; advising on localization of SIGTAS for audit requirements.  
This includes developing training programs via a train-the-trainer process.</v>
      </c>
      <c r="C76" s="22" t="s">
        <v>3</v>
      </c>
      <c r="D76" s="22" t="s">
        <v>0</v>
      </c>
      <c r="E76" s="17">
        <f>'[2]1. Detailed Budget POA'!$L$33</f>
        <v>142480.79999999999</v>
      </c>
      <c r="F76" s="17"/>
      <c r="G76" s="9">
        <f t="shared" si="4"/>
        <v>142480.79999999999</v>
      </c>
      <c r="H76" s="269" t="s">
        <v>347</v>
      </c>
      <c r="I76" s="19" t="s">
        <v>262</v>
      </c>
      <c r="J76" s="19" t="s">
        <v>28</v>
      </c>
      <c r="K76" s="268" t="s">
        <v>67</v>
      </c>
      <c r="L76" s="268" t="s">
        <v>315</v>
      </c>
      <c r="M76" s="1"/>
      <c r="AL76" s="56"/>
      <c r="AM76" s="56"/>
      <c r="AN76" s="56"/>
      <c r="AO76" s="56"/>
      <c r="AP76" s="56"/>
      <c r="AQ76" s="56"/>
      <c r="AR76" s="56"/>
      <c r="AS76" s="56"/>
      <c r="AT76" s="56"/>
    </row>
    <row r="77" spans="1:46" ht="47.25" x14ac:dyDescent="0.25">
      <c r="A77" s="15">
        <f t="shared" si="5"/>
        <v>19</v>
      </c>
      <c r="B77" s="1" t="str">
        <f>'[2]1. Detailed Budget POA'!$H$34</f>
        <v xml:space="preserve">Local technical assistance for international technical consultant in review current tax audit procedures and to design and implement new procedures utilizing international best practices adopted for the ATO environment.  </v>
      </c>
      <c r="C77" s="22" t="s">
        <v>3</v>
      </c>
      <c r="D77" s="22" t="s">
        <v>0</v>
      </c>
      <c r="E77" s="17">
        <f>'[2]1. Detailed Budget POA'!$L$34</f>
        <v>27720</v>
      </c>
      <c r="F77" s="17"/>
      <c r="G77" s="9">
        <f t="shared" si="4"/>
        <v>27720</v>
      </c>
      <c r="H77" s="269" t="s">
        <v>347</v>
      </c>
      <c r="I77" s="19" t="s">
        <v>262</v>
      </c>
      <c r="J77" s="19" t="s">
        <v>28</v>
      </c>
      <c r="K77" s="268" t="s">
        <v>67</v>
      </c>
      <c r="L77" s="268" t="s">
        <v>315</v>
      </c>
      <c r="M77" s="1"/>
      <c r="AL77" s="56"/>
      <c r="AM77" s="56"/>
      <c r="AN77" s="56"/>
      <c r="AO77" s="56"/>
      <c r="AP77" s="56"/>
      <c r="AQ77" s="56"/>
      <c r="AR77" s="56"/>
      <c r="AS77" s="56"/>
      <c r="AT77" s="56"/>
    </row>
    <row r="78" spans="1:46" ht="63" x14ac:dyDescent="0.25">
      <c r="A78" s="15">
        <f t="shared" si="5"/>
        <v>20</v>
      </c>
      <c r="B78" s="1" t="str">
        <f>'[2]1. Detailed Budget POA'!$H$37</f>
        <v>International technical assistance to review current arrears collections procedures and to design and implement new procedures utilizing international best practices; advising on localization of SIGTAS for collection requirements.
This includes developing training programs via a train-the-trainer process.</v>
      </c>
      <c r="C78" s="22" t="s">
        <v>3</v>
      </c>
      <c r="D78" s="22" t="s">
        <v>0</v>
      </c>
      <c r="E78" s="17">
        <f>'[2]1. Detailed Budget POA'!$L$37</f>
        <v>66000</v>
      </c>
      <c r="F78" s="17"/>
      <c r="G78" s="9">
        <f t="shared" si="4"/>
        <v>66000</v>
      </c>
      <c r="H78" s="269" t="s">
        <v>348</v>
      </c>
      <c r="I78" s="19" t="s">
        <v>262</v>
      </c>
      <c r="J78" s="19" t="s">
        <v>28</v>
      </c>
      <c r="K78" s="268" t="s">
        <v>356</v>
      </c>
      <c r="L78" s="268" t="s">
        <v>315</v>
      </c>
      <c r="M78" s="1"/>
      <c r="AL78" s="56"/>
      <c r="AM78" s="56"/>
      <c r="AN78" s="56"/>
      <c r="AO78" s="56"/>
      <c r="AP78" s="56"/>
      <c r="AQ78" s="56"/>
      <c r="AR78" s="56"/>
      <c r="AS78" s="56"/>
      <c r="AT78" s="56"/>
    </row>
    <row r="79" spans="1:46" ht="31.5" x14ac:dyDescent="0.25">
      <c r="A79" s="15">
        <f t="shared" si="5"/>
        <v>21</v>
      </c>
      <c r="B79" s="1" t="str">
        <f>'[2]1. Detailed Budget POA'!$H$38</f>
        <v xml:space="preserve">Local technical assistance to review current arrears collections procedures and to design and implement new procedures utilizing international best practices. </v>
      </c>
      <c r="C79" s="22" t="s">
        <v>3</v>
      </c>
      <c r="D79" s="22" t="s">
        <v>0</v>
      </c>
      <c r="E79" s="17">
        <f>'[2]1. Detailed Budget POA'!$L$38</f>
        <v>9240</v>
      </c>
      <c r="F79" s="17"/>
      <c r="G79" s="9">
        <f t="shared" si="4"/>
        <v>9240</v>
      </c>
      <c r="H79" s="269" t="s">
        <v>348</v>
      </c>
      <c r="I79" s="19" t="s">
        <v>262</v>
      </c>
      <c r="J79" s="19" t="s">
        <v>28</v>
      </c>
      <c r="K79" s="268" t="s">
        <v>356</v>
      </c>
      <c r="L79" s="268" t="s">
        <v>315</v>
      </c>
      <c r="M79" s="1"/>
      <c r="AL79" s="56"/>
      <c r="AM79" s="56"/>
      <c r="AN79" s="56"/>
      <c r="AO79" s="56"/>
      <c r="AP79" s="56"/>
      <c r="AQ79" s="56"/>
      <c r="AR79" s="56"/>
      <c r="AS79" s="56"/>
      <c r="AT79" s="56"/>
    </row>
    <row r="80" spans="1:46" ht="63" x14ac:dyDescent="0.25">
      <c r="A80" s="15">
        <f t="shared" si="5"/>
        <v>22</v>
      </c>
      <c r="B80" s="1" t="str">
        <f>'[2]1. Detailed Budget POA'!$H$41</f>
        <v>International consultant assistance to design the tax appeal processes following international best practices; advise on localization of SIGTAS for appeals requirements. This includes developing training programs via a train-the-trainer process.
(3 months first year; follow-up in subsequent 2 years)</v>
      </c>
      <c r="C80" s="22" t="s">
        <v>3</v>
      </c>
      <c r="D80" s="22" t="s">
        <v>0</v>
      </c>
      <c r="E80" s="17">
        <f>'[2]1. Detailed Budget POA'!$L$41</f>
        <v>99000</v>
      </c>
      <c r="F80" s="17"/>
      <c r="G80" s="9">
        <f t="shared" si="4"/>
        <v>99000</v>
      </c>
      <c r="H80" s="269" t="s">
        <v>349</v>
      </c>
      <c r="I80" s="19" t="s">
        <v>262</v>
      </c>
      <c r="J80" s="19" t="s">
        <v>28</v>
      </c>
      <c r="K80" s="268" t="s">
        <v>356</v>
      </c>
      <c r="L80" s="268" t="s">
        <v>315</v>
      </c>
      <c r="M80" s="1"/>
      <c r="AL80" s="56"/>
      <c r="AM80" s="56"/>
      <c r="AN80" s="56"/>
      <c r="AO80" s="56"/>
      <c r="AP80" s="56"/>
      <c r="AQ80" s="56"/>
      <c r="AR80" s="56"/>
      <c r="AS80" s="56"/>
      <c r="AT80" s="56"/>
    </row>
    <row r="81" spans="1:46" ht="47.25" x14ac:dyDescent="0.25">
      <c r="A81" s="15">
        <f t="shared" si="5"/>
        <v>23</v>
      </c>
      <c r="B81" s="1" t="str">
        <f>'[2]1. Detailed Budget POA'!$H$42</f>
        <v>local technical assistance to design the tax appeal processes following international best practices.
(4 months first year; follow-up in subsequent 2 years)</v>
      </c>
      <c r="C81" s="22" t="s">
        <v>3</v>
      </c>
      <c r="D81" s="22" t="s">
        <v>0</v>
      </c>
      <c r="E81" s="17">
        <f>'[2]1. Detailed Budget POA'!$L$42</f>
        <v>36960</v>
      </c>
      <c r="F81" s="17"/>
      <c r="G81" s="9">
        <f t="shared" si="4"/>
        <v>36960</v>
      </c>
      <c r="H81" s="269" t="s">
        <v>349</v>
      </c>
      <c r="I81" s="19" t="s">
        <v>262</v>
      </c>
      <c r="J81" s="19" t="s">
        <v>28</v>
      </c>
      <c r="K81" s="268" t="s">
        <v>356</v>
      </c>
      <c r="L81" s="268" t="s">
        <v>315</v>
      </c>
      <c r="M81" s="1"/>
      <c r="AL81" s="56"/>
      <c r="AM81" s="56"/>
      <c r="AN81" s="56"/>
      <c r="AO81" s="56"/>
      <c r="AP81" s="56"/>
      <c r="AQ81" s="56"/>
      <c r="AR81" s="56"/>
      <c r="AS81" s="56"/>
      <c r="AT81" s="56"/>
    </row>
    <row r="82" spans="1:46" ht="31.5" x14ac:dyDescent="0.25">
      <c r="A82" s="15">
        <f t="shared" si="5"/>
        <v>24</v>
      </c>
      <c r="B82" s="1" t="str">
        <f>'[2]1. Detailed Budget POA'!$H$46</f>
        <v>Technical assistance to modify ASYCUDA payment module to interface with the e-payments facility</v>
      </c>
      <c r="C82" s="22" t="s">
        <v>3</v>
      </c>
      <c r="D82" s="22" t="s">
        <v>0</v>
      </c>
      <c r="E82" s="17">
        <f>'[2]1. Detailed Budget POA'!$L$46</f>
        <v>50000</v>
      </c>
      <c r="F82" s="17"/>
      <c r="G82" s="9">
        <f t="shared" si="4"/>
        <v>50000</v>
      </c>
      <c r="H82" s="269" t="s">
        <v>321</v>
      </c>
      <c r="I82" s="19" t="s">
        <v>262</v>
      </c>
      <c r="J82" s="19" t="s">
        <v>28</v>
      </c>
      <c r="K82" s="268" t="s">
        <v>67</v>
      </c>
      <c r="L82" s="268" t="s">
        <v>313</v>
      </c>
      <c r="M82" s="1"/>
      <c r="AL82" s="56"/>
      <c r="AM82" s="56"/>
      <c r="AN82" s="56"/>
      <c r="AO82" s="56"/>
      <c r="AP82" s="56"/>
      <c r="AQ82" s="56"/>
      <c r="AR82" s="56"/>
      <c r="AS82" s="56"/>
      <c r="AT82" s="56"/>
    </row>
    <row r="83" spans="1:46" ht="47.25" x14ac:dyDescent="0.25">
      <c r="A83" s="15">
        <f t="shared" si="5"/>
        <v>25</v>
      </c>
      <c r="B83" s="1" t="str">
        <f>'[2]1. Detailed Budget POA'!$H$48</f>
        <v>Procure services of a local company to design and execute Customs survey and analysis of results.
(2 months in 1st year; one month of effort for subsequent years or program)</v>
      </c>
      <c r="C83" s="22" t="s">
        <v>3</v>
      </c>
      <c r="D83" s="22" t="s">
        <v>0</v>
      </c>
      <c r="E83" s="17">
        <f>'[2]1. Detailed Budget POA'!$L$48</f>
        <v>27720</v>
      </c>
      <c r="F83" s="17"/>
      <c r="G83" s="9">
        <f t="shared" si="4"/>
        <v>27720</v>
      </c>
      <c r="H83" s="269" t="s">
        <v>321</v>
      </c>
      <c r="I83" s="19" t="s">
        <v>262</v>
      </c>
      <c r="J83" s="19" t="s">
        <v>28</v>
      </c>
      <c r="K83" s="268" t="s">
        <v>67</v>
      </c>
      <c r="L83" s="268" t="s">
        <v>313</v>
      </c>
      <c r="M83" s="1"/>
      <c r="AL83" s="56"/>
      <c r="AM83" s="56"/>
      <c r="AN83" s="56"/>
      <c r="AO83" s="56"/>
      <c r="AP83" s="56"/>
      <c r="AQ83" s="56"/>
      <c r="AR83" s="56"/>
      <c r="AS83" s="56"/>
      <c r="AT83" s="56"/>
    </row>
    <row r="84" spans="1:46" ht="47.25" x14ac:dyDescent="0.25">
      <c r="A84" s="15">
        <f t="shared" si="5"/>
        <v>26</v>
      </c>
      <c r="B84" s="1" t="str">
        <f>'[2]1. Detailed Budget POA'!$H$51</f>
        <v>Technical support to establish, train, and provide consulting support to a group to undertake the data analytics that result in risk profiles that the AW risk management system employs to identify high risk transactions</v>
      </c>
      <c r="C84" s="22" t="s">
        <v>3</v>
      </c>
      <c r="D84" s="22" t="s">
        <v>0</v>
      </c>
      <c r="E84" s="17">
        <f>'[2]1. Detailed Budget POA'!$L$51</f>
        <v>33000</v>
      </c>
      <c r="F84" s="17"/>
      <c r="G84" s="9">
        <f t="shared" si="4"/>
        <v>33000</v>
      </c>
      <c r="H84" s="269" t="s">
        <v>322</v>
      </c>
      <c r="I84" s="19" t="s">
        <v>262</v>
      </c>
      <c r="J84" s="19" t="s">
        <v>28</v>
      </c>
      <c r="K84" s="268" t="s">
        <v>68</v>
      </c>
      <c r="L84" s="268" t="s">
        <v>353</v>
      </c>
      <c r="M84" s="1"/>
      <c r="AL84" s="56"/>
      <c r="AM84" s="56"/>
      <c r="AN84" s="56"/>
      <c r="AO84" s="56"/>
      <c r="AP84" s="56"/>
      <c r="AQ84" s="56"/>
      <c r="AR84" s="56"/>
      <c r="AS84" s="56"/>
      <c r="AT84" s="56"/>
    </row>
    <row r="85" spans="1:46" ht="63" x14ac:dyDescent="0.25">
      <c r="A85" s="15">
        <f t="shared" si="5"/>
        <v>27</v>
      </c>
      <c r="B85" s="1" t="str">
        <f>'[2]1. Detailed Budget POA'!$H$52</f>
        <v>Procure technical assistance to undertake the initial training in the use of the AW risk management system including how to operate it and adjust inputs to it.  Also includes the coding required to expand the automation of information into the AW risk management system from AW modules (e.g.: PCA results and results of examinations).</v>
      </c>
      <c r="C85" s="22" t="s">
        <v>3</v>
      </c>
      <c r="D85" s="22" t="s">
        <v>0</v>
      </c>
      <c r="E85" s="17">
        <f>'[2]1. Detailed Budget POA'!$L$52</f>
        <v>75000</v>
      </c>
      <c r="F85" s="17"/>
      <c r="G85" s="9">
        <f t="shared" si="4"/>
        <v>75000</v>
      </c>
      <c r="H85" s="269" t="s">
        <v>322</v>
      </c>
      <c r="I85" s="19" t="s">
        <v>262</v>
      </c>
      <c r="J85" s="19" t="s">
        <v>28</v>
      </c>
      <c r="K85" s="268" t="s">
        <v>68</v>
      </c>
      <c r="L85" s="268" t="s">
        <v>353</v>
      </c>
      <c r="M85" s="1"/>
      <c r="AL85" s="56"/>
      <c r="AM85" s="56"/>
      <c r="AN85" s="56"/>
      <c r="AO85" s="56"/>
      <c r="AP85" s="56"/>
      <c r="AQ85" s="56"/>
      <c r="AR85" s="56"/>
      <c r="AS85" s="56"/>
      <c r="AT85" s="56"/>
    </row>
    <row r="86" spans="1:46" x14ac:dyDescent="0.25">
      <c r="A86" s="15">
        <f t="shared" si="5"/>
        <v>28</v>
      </c>
      <c r="B86" s="1" t="str">
        <f>'[2]1. Detailed Budget POA'!$H$58</f>
        <v>Procure technical resource to undertake customization of ASYCUDA to accommodate VAT.</v>
      </c>
      <c r="C86" s="22" t="s">
        <v>3</v>
      </c>
      <c r="D86" s="22" t="s">
        <v>0</v>
      </c>
      <c r="E86" s="17">
        <f>'[2]1. Detailed Budget POA'!$L$58</f>
        <v>55000</v>
      </c>
      <c r="F86" s="17"/>
      <c r="G86" s="9">
        <f t="shared" si="4"/>
        <v>55000</v>
      </c>
      <c r="H86" s="269" t="s">
        <v>323</v>
      </c>
      <c r="I86" s="19" t="s">
        <v>262</v>
      </c>
      <c r="J86" s="19" t="s">
        <v>28</v>
      </c>
      <c r="K86" s="268" t="s">
        <v>68</v>
      </c>
      <c r="L86" s="268" t="s">
        <v>316</v>
      </c>
      <c r="M86" s="1"/>
      <c r="AL86" s="56"/>
      <c r="AM86" s="56"/>
      <c r="AN86" s="56"/>
      <c r="AO86" s="56"/>
      <c r="AP86" s="56"/>
      <c r="AQ86" s="56"/>
      <c r="AR86" s="56"/>
      <c r="AS86" s="56"/>
      <c r="AT86" s="56"/>
    </row>
    <row r="87" spans="1:46" ht="63" x14ac:dyDescent="0.25">
      <c r="A87" s="15">
        <f t="shared" si="5"/>
        <v>29</v>
      </c>
      <c r="B87" s="1" t="str">
        <f>'[2]1. Detailed Budget POA'!$H$70</f>
        <v>d.  Provide operational support for the ASYCUDA World instance by acquiring resources, through a firm, to provide technical support of the product both on a short term contractual basis and through training of customs IT staff to keep the application operational
(2 consultants for 1 year)</v>
      </c>
      <c r="C87" s="22" t="s">
        <v>3</v>
      </c>
      <c r="D87" s="22" t="s">
        <v>0</v>
      </c>
      <c r="E87" s="17">
        <f>'[2]1. Detailed Budget POA'!$L$70</f>
        <v>110880</v>
      </c>
      <c r="F87" s="17"/>
      <c r="G87" s="9">
        <f t="shared" si="4"/>
        <v>110880</v>
      </c>
      <c r="H87" s="269" t="s">
        <v>351</v>
      </c>
      <c r="I87" s="19" t="s">
        <v>262</v>
      </c>
      <c r="J87" s="19" t="s">
        <v>28</v>
      </c>
      <c r="K87" s="268" t="s">
        <v>67</v>
      </c>
      <c r="L87" s="268" t="s">
        <v>313</v>
      </c>
      <c r="M87" s="1"/>
      <c r="AL87" s="56"/>
      <c r="AM87" s="56"/>
      <c r="AN87" s="56"/>
      <c r="AO87" s="56"/>
      <c r="AP87" s="56"/>
      <c r="AQ87" s="56"/>
      <c r="AR87" s="56"/>
      <c r="AS87" s="56"/>
      <c r="AT87" s="56"/>
    </row>
    <row r="88" spans="1:46" ht="31.5" x14ac:dyDescent="0.25">
      <c r="A88" s="15">
        <f t="shared" si="5"/>
        <v>30</v>
      </c>
      <c r="B88" s="1" t="str">
        <f>'[2]1. Detailed Budget POA'!$H$71</f>
        <v>Technical assistance to make the necessary adjustments to ASYCUDA to accommodate the automation of the data extraction or uploading with ASYCUDA</v>
      </c>
      <c r="C88" s="22" t="s">
        <v>3</v>
      </c>
      <c r="D88" s="22" t="s">
        <v>0</v>
      </c>
      <c r="E88" s="17">
        <f>'[2]1. Detailed Budget POA'!$L$71</f>
        <v>50000</v>
      </c>
      <c r="F88" s="17"/>
      <c r="G88" s="9">
        <f t="shared" si="4"/>
        <v>50000</v>
      </c>
      <c r="H88" s="269" t="s">
        <v>351</v>
      </c>
      <c r="I88" s="19" t="s">
        <v>262</v>
      </c>
      <c r="J88" s="19" t="s">
        <v>28</v>
      </c>
      <c r="K88" s="268" t="s">
        <v>67</v>
      </c>
      <c r="L88" s="268" t="s">
        <v>313</v>
      </c>
      <c r="M88" s="1"/>
      <c r="AL88" s="56"/>
      <c r="AM88" s="56"/>
      <c r="AN88" s="56"/>
      <c r="AO88" s="56"/>
      <c r="AP88" s="56"/>
      <c r="AQ88" s="56"/>
      <c r="AR88" s="56"/>
      <c r="AS88" s="56"/>
      <c r="AT88" s="56"/>
    </row>
    <row r="89" spans="1:46" ht="31.5" x14ac:dyDescent="0.25">
      <c r="A89" s="15">
        <f t="shared" si="5"/>
        <v>31</v>
      </c>
      <c r="B89" s="1" t="str">
        <f>'[2]1. Detailed Budget POA'!$H$72</f>
        <v>Train customs IT staff in use of the equipment and software they are supporting including certification that is required for AW support. using on-site training sessions</v>
      </c>
      <c r="C89" s="22" t="s">
        <v>3</v>
      </c>
      <c r="D89" s="22" t="s">
        <v>0</v>
      </c>
      <c r="E89" s="17">
        <f>'[2]1. Detailed Budget POA'!$L$72</f>
        <v>23100</v>
      </c>
      <c r="F89" s="17"/>
      <c r="G89" s="9">
        <f t="shared" si="4"/>
        <v>23100</v>
      </c>
      <c r="H89" s="269" t="s">
        <v>351</v>
      </c>
      <c r="I89" s="19" t="s">
        <v>262</v>
      </c>
      <c r="J89" s="19" t="s">
        <v>28</v>
      </c>
      <c r="K89" s="268" t="s">
        <v>67</v>
      </c>
      <c r="L89" s="268" t="s">
        <v>313</v>
      </c>
      <c r="M89" s="1"/>
      <c r="AL89" s="56"/>
      <c r="AM89" s="56"/>
      <c r="AN89" s="56"/>
      <c r="AO89" s="56"/>
      <c r="AP89" s="56"/>
      <c r="AQ89" s="56"/>
      <c r="AR89" s="56"/>
      <c r="AS89" s="56"/>
      <c r="AT89" s="56"/>
    </row>
    <row r="90" spans="1:46" ht="78.75" x14ac:dyDescent="0.25">
      <c r="A90" s="15">
        <f t="shared" si="5"/>
        <v>32</v>
      </c>
      <c r="B90" s="1" t="str">
        <f>'[2]1. Detailed Budget POA'!$H$75</f>
        <v>Architectural and Engineering services to develop the specifications for the construction of a new building.  Participate in the evaluation of bids, provide project management of the construction process. 
(Architect amount is 5% of the estimated building costs; project management at 5% of building costs)</v>
      </c>
      <c r="C90" s="22" t="s">
        <v>3</v>
      </c>
      <c r="D90" s="22" t="s">
        <v>0</v>
      </c>
      <c r="E90" s="17">
        <f>'[2]1. Detailed Budget POA'!$L$75</f>
        <v>534300</v>
      </c>
      <c r="F90" s="17"/>
      <c r="G90" s="9">
        <f>E90</f>
        <v>534300</v>
      </c>
      <c r="H90" s="269" t="s">
        <v>326</v>
      </c>
      <c r="I90" s="19" t="s">
        <v>262</v>
      </c>
      <c r="J90" s="19" t="s">
        <v>28</v>
      </c>
      <c r="K90" s="268" t="s">
        <v>67</v>
      </c>
      <c r="L90" s="268" t="s">
        <v>353</v>
      </c>
      <c r="M90" s="1"/>
      <c r="AL90" s="56"/>
      <c r="AM90" s="56"/>
      <c r="AN90" s="56"/>
      <c r="AO90" s="56"/>
      <c r="AP90" s="56"/>
      <c r="AQ90" s="56"/>
      <c r="AR90" s="56"/>
      <c r="AS90" s="56"/>
      <c r="AT90" s="56"/>
    </row>
    <row r="91" spans="1:46" ht="31.5" x14ac:dyDescent="0.25">
      <c r="A91" s="15">
        <f t="shared" si="5"/>
        <v>33</v>
      </c>
      <c r="B91" s="1" t="str">
        <f>'[2]1. Detailed Budget POA'!$H$78</f>
        <v xml:space="preserve">Review existing processes used for mail processing and identify changes in processing and what mechanical mail processing equipment would be required to uplift the operations.  </v>
      </c>
      <c r="C91" s="22" t="s">
        <v>3</v>
      </c>
      <c r="D91" s="22" t="s">
        <v>0</v>
      </c>
      <c r="E91" s="17">
        <f>'[2]1. Detailed Budget POA'!$L$78</f>
        <v>33000</v>
      </c>
      <c r="F91" s="17"/>
      <c r="G91" s="9">
        <f t="shared" ref="G91" si="7">E91</f>
        <v>33000</v>
      </c>
      <c r="H91" s="269" t="s">
        <v>326</v>
      </c>
      <c r="I91" s="19" t="s">
        <v>262</v>
      </c>
      <c r="J91" s="19" t="s">
        <v>28</v>
      </c>
      <c r="K91" s="268" t="s">
        <v>67</v>
      </c>
      <c r="L91" s="268" t="s">
        <v>353</v>
      </c>
      <c r="M91" s="1"/>
      <c r="AL91" s="56"/>
      <c r="AM91" s="56"/>
      <c r="AN91" s="56"/>
      <c r="AO91" s="56"/>
      <c r="AP91" s="56"/>
      <c r="AQ91" s="56"/>
      <c r="AR91" s="56"/>
      <c r="AS91" s="56"/>
      <c r="AT91" s="56"/>
    </row>
    <row r="92" spans="1:46" ht="31.5" x14ac:dyDescent="0.25">
      <c r="A92" s="15">
        <f t="shared" si="5"/>
        <v>34</v>
      </c>
      <c r="B92" s="1" t="str">
        <f>'[2]1. Detailed Budget POA'!$H$79</f>
        <v>Review the telecommunication needs of the tax and customs teams and acquire the needed equipment identified</v>
      </c>
      <c r="C92" s="22" t="s">
        <v>3</v>
      </c>
      <c r="D92" s="22" t="s">
        <v>0</v>
      </c>
      <c r="E92" s="17">
        <f>'[2]1. Detailed Budget POA'!$L$79</f>
        <v>13860</v>
      </c>
      <c r="F92" s="17"/>
      <c r="G92" s="9">
        <f t="shared" si="4"/>
        <v>13860</v>
      </c>
      <c r="H92" s="269" t="s">
        <v>326</v>
      </c>
      <c r="I92" s="19" t="s">
        <v>262</v>
      </c>
      <c r="J92" s="19" t="s">
        <v>28</v>
      </c>
      <c r="K92" s="268" t="s">
        <v>67</v>
      </c>
      <c r="L92" s="268" t="s">
        <v>353</v>
      </c>
      <c r="M92" s="1"/>
      <c r="AL92" s="56"/>
      <c r="AM92" s="56"/>
      <c r="AN92" s="56"/>
      <c r="AO92" s="56"/>
      <c r="AP92" s="56"/>
      <c r="AQ92" s="56"/>
      <c r="AR92" s="56"/>
      <c r="AS92" s="56"/>
      <c r="AT92" s="56"/>
    </row>
    <row r="93" spans="1:46" ht="78.75" x14ac:dyDescent="0.25">
      <c r="A93" s="15">
        <f t="shared" si="5"/>
        <v>35</v>
      </c>
      <c r="B93" s="1" t="str">
        <f>'[2]1. Detailed Budget POA'!$H$84</f>
        <v>Technical assistance to draft and disseminate legal instruments for: (a) the new VAT act, (b) a new Income Tax Act; (c) Customs Act; (d) Gaming Tax Act; (e) Entertainment Tax Act; and (f) Electronic Trade Act (to allow use of electronic transactions including e-signatures and Taxpayer Identification Numbers TIN); plus modifications required to the above acts to accommodate SIGTAS implementation.</v>
      </c>
      <c r="C93" s="22" t="s">
        <v>3</v>
      </c>
      <c r="D93" s="22" t="s">
        <v>0</v>
      </c>
      <c r="E93" s="17">
        <f>'[2]1. Detailed Budget POA'!$L$84</f>
        <v>198000</v>
      </c>
      <c r="F93" s="17"/>
      <c r="G93" s="9">
        <f t="shared" si="4"/>
        <v>198000</v>
      </c>
      <c r="H93" s="269" t="s">
        <v>350</v>
      </c>
      <c r="I93" s="19" t="s">
        <v>262</v>
      </c>
      <c r="J93" s="19" t="s">
        <v>28</v>
      </c>
      <c r="K93" s="268" t="s">
        <v>69</v>
      </c>
      <c r="L93" s="268" t="s">
        <v>315</v>
      </c>
      <c r="M93" s="1"/>
      <c r="AL93" s="56"/>
      <c r="AM93" s="56"/>
      <c r="AN93" s="56"/>
      <c r="AO93" s="56"/>
      <c r="AP93" s="56"/>
      <c r="AQ93" s="56"/>
      <c r="AR93" s="56"/>
      <c r="AS93" s="56"/>
      <c r="AT93" s="56"/>
    </row>
    <row r="94" spans="1:46" ht="31.5" x14ac:dyDescent="0.25">
      <c r="A94" s="15">
        <f t="shared" si="5"/>
        <v>36</v>
      </c>
      <c r="B94" s="1" t="str">
        <f>'[2]1. Detailed Budget POA'!$H$85</f>
        <v>Technical assistance for course development and training of trainers within the OTA on the VAT legislation.   + Training</v>
      </c>
      <c r="C94" s="22" t="s">
        <v>3</v>
      </c>
      <c r="D94" s="22" t="s">
        <v>0</v>
      </c>
      <c r="E94" s="17">
        <f>'[2]1. Detailed Budget POA'!$L$85</f>
        <v>82500</v>
      </c>
      <c r="F94" s="17"/>
      <c r="G94" s="9">
        <f t="shared" si="4"/>
        <v>82500</v>
      </c>
      <c r="H94" s="269" t="s">
        <v>350</v>
      </c>
      <c r="I94" s="19" t="s">
        <v>262</v>
      </c>
      <c r="J94" s="19" t="s">
        <v>28</v>
      </c>
      <c r="K94" s="268" t="s">
        <v>69</v>
      </c>
      <c r="L94" s="268" t="s">
        <v>315</v>
      </c>
      <c r="M94" s="1"/>
      <c r="AL94" s="56"/>
      <c r="AM94" s="56"/>
      <c r="AN94" s="56"/>
      <c r="AO94" s="56"/>
      <c r="AP94" s="56"/>
      <c r="AQ94" s="56"/>
      <c r="AR94" s="56"/>
      <c r="AS94" s="56"/>
      <c r="AT94" s="56"/>
    </row>
    <row r="95" spans="1:46" x14ac:dyDescent="0.25">
      <c r="A95" s="15">
        <f t="shared" si="5"/>
        <v>37</v>
      </c>
      <c r="B95" s="1" t="str">
        <f>'[2]1. Detailed Budget POA'!$H$86</f>
        <v>local legal technical support</v>
      </c>
      <c r="C95" s="22" t="s">
        <v>3</v>
      </c>
      <c r="D95" s="22" t="s">
        <v>0</v>
      </c>
      <c r="E95" s="17">
        <f>'[2]1. Detailed Budget POA'!$L$86</f>
        <v>27720</v>
      </c>
      <c r="F95" s="17"/>
      <c r="G95" s="9">
        <f t="shared" si="4"/>
        <v>27720</v>
      </c>
      <c r="H95" s="269" t="s">
        <v>350</v>
      </c>
      <c r="I95" s="19" t="s">
        <v>262</v>
      </c>
      <c r="J95" s="19" t="s">
        <v>28</v>
      </c>
      <c r="K95" s="268" t="s">
        <v>69</v>
      </c>
      <c r="L95" s="268" t="s">
        <v>315</v>
      </c>
      <c r="M95" s="1"/>
      <c r="AL95" s="56"/>
      <c r="AM95" s="56"/>
      <c r="AN95" s="56"/>
      <c r="AO95" s="56"/>
      <c r="AP95" s="56"/>
      <c r="AQ95" s="56"/>
      <c r="AR95" s="56"/>
      <c r="AS95" s="56"/>
      <c r="AT95" s="56"/>
    </row>
    <row r="96" spans="1:46" x14ac:dyDescent="0.25">
      <c r="A96" s="15">
        <f t="shared" si="5"/>
        <v>38</v>
      </c>
      <c r="B96" s="1" t="str">
        <f>'[2]1. Detailed Budget POA'!$H$143</f>
        <v>Certification Program in Public Procurement for public servants</v>
      </c>
      <c r="C96" s="22" t="s">
        <v>3</v>
      </c>
      <c r="D96" s="22" t="s">
        <v>0</v>
      </c>
      <c r="E96" s="17">
        <f>'[2]1. Detailed Budget POA'!$L$143</f>
        <v>122126.39999999999</v>
      </c>
      <c r="F96" s="17"/>
      <c r="G96" s="9">
        <f t="shared" si="4"/>
        <v>122126.39999999999</v>
      </c>
      <c r="H96" s="269" t="s">
        <v>332</v>
      </c>
      <c r="I96" s="19" t="s">
        <v>262</v>
      </c>
      <c r="J96" s="19" t="s">
        <v>28</v>
      </c>
      <c r="K96" s="268" t="s">
        <v>67</v>
      </c>
      <c r="L96" s="268" t="s">
        <v>353</v>
      </c>
      <c r="M96" s="1"/>
      <c r="AL96" s="56"/>
      <c r="AM96" s="56"/>
      <c r="AN96" s="56"/>
      <c r="AO96" s="56"/>
      <c r="AP96" s="56"/>
      <c r="AQ96" s="56"/>
      <c r="AR96" s="56"/>
      <c r="AS96" s="56"/>
      <c r="AT96" s="56"/>
    </row>
    <row r="97" spans="1:46" x14ac:dyDescent="0.25">
      <c r="A97" s="15">
        <f t="shared" si="5"/>
        <v>39</v>
      </c>
      <c r="B97" s="1" t="str">
        <f>'[2]1. Detailed Budget POA'!$H$144</f>
        <v>Awareness Campaign</v>
      </c>
      <c r="C97" s="22" t="s">
        <v>3</v>
      </c>
      <c r="D97" s="22" t="s">
        <v>0</v>
      </c>
      <c r="E97" s="17">
        <f>'[2]1. Detailed Budget POA'!$L$144</f>
        <v>162835.19999999998</v>
      </c>
      <c r="F97" s="17"/>
      <c r="G97" s="9">
        <f t="shared" si="4"/>
        <v>162835.19999999998</v>
      </c>
      <c r="H97" s="269" t="s">
        <v>332</v>
      </c>
      <c r="I97" s="19" t="s">
        <v>262</v>
      </c>
      <c r="J97" s="19" t="s">
        <v>28</v>
      </c>
      <c r="K97" s="268" t="s">
        <v>67</v>
      </c>
      <c r="L97" s="268" t="s">
        <v>353</v>
      </c>
      <c r="M97" s="1"/>
      <c r="AL97" s="56"/>
      <c r="AM97" s="56"/>
      <c r="AN97" s="56"/>
      <c r="AO97" s="56"/>
      <c r="AP97" s="56"/>
      <c r="AQ97" s="56"/>
      <c r="AR97" s="56"/>
      <c r="AS97" s="56"/>
      <c r="AT97" s="56"/>
    </row>
    <row r="98" spans="1:46" x14ac:dyDescent="0.25">
      <c r="A98" s="15">
        <f t="shared" si="5"/>
        <v>40</v>
      </c>
      <c r="B98" s="1" t="str">
        <f>'[2]1. Detailed Budget POA'!$H$219</f>
        <v>Preparation of the pre-investment and feasibility studies</v>
      </c>
      <c r="C98" s="22" t="s">
        <v>3</v>
      </c>
      <c r="D98" s="22" t="s">
        <v>0</v>
      </c>
      <c r="E98" s="17">
        <f>'[2]1. Detailed Budget POA'!$L$219</f>
        <v>1933667.9999999998</v>
      </c>
      <c r="F98" s="17"/>
      <c r="G98" s="9">
        <f t="shared" si="4"/>
        <v>1933667.9999999998</v>
      </c>
      <c r="H98" s="269" t="s">
        <v>341</v>
      </c>
      <c r="I98" s="19" t="s">
        <v>262</v>
      </c>
      <c r="J98" s="19" t="s">
        <v>28</v>
      </c>
      <c r="K98" s="268" t="s">
        <v>69</v>
      </c>
      <c r="L98" s="268" t="s">
        <v>353</v>
      </c>
      <c r="M98" s="1"/>
      <c r="AL98" s="56"/>
      <c r="AM98" s="56"/>
      <c r="AN98" s="56"/>
      <c r="AO98" s="56"/>
      <c r="AP98" s="56"/>
      <c r="AQ98" s="56"/>
      <c r="AR98" s="56"/>
      <c r="AS98" s="56"/>
      <c r="AT98" s="56"/>
    </row>
    <row r="99" spans="1:46" x14ac:dyDescent="0.25">
      <c r="A99" s="15">
        <f>A132+1</f>
        <v>42</v>
      </c>
      <c r="B99" s="1"/>
      <c r="C99" s="22"/>
      <c r="D99" s="22"/>
      <c r="E99" s="17"/>
      <c r="F99" s="17"/>
      <c r="G99" s="9">
        <f t="shared" si="4"/>
        <v>0</v>
      </c>
      <c r="H99" s="22"/>
      <c r="I99" s="19"/>
      <c r="J99" s="19"/>
      <c r="K99" s="22"/>
      <c r="L99" s="22"/>
      <c r="M99" s="1"/>
      <c r="AL99" s="56"/>
      <c r="AM99" s="56"/>
      <c r="AN99" s="56"/>
      <c r="AO99" s="56"/>
      <c r="AP99" s="56"/>
      <c r="AQ99" s="56"/>
      <c r="AR99" s="56"/>
      <c r="AS99" s="56"/>
      <c r="AT99" s="56"/>
    </row>
    <row r="100" spans="1:46" x14ac:dyDescent="0.25">
      <c r="A100" s="204"/>
      <c r="B100" s="204"/>
      <c r="C100" s="205"/>
      <c r="D100" s="204"/>
      <c r="E100" s="277"/>
      <c r="F100" s="277"/>
      <c r="G100" s="204"/>
      <c r="H100" s="204"/>
      <c r="I100" s="205"/>
      <c r="J100" s="205"/>
      <c r="K100" s="204"/>
      <c r="L100" s="204"/>
      <c r="M100" s="204"/>
    </row>
    <row r="101" spans="1:46" x14ac:dyDescent="0.25">
      <c r="A101" s="273"/>
      <c r="B101" s="204"/>
      <c r="C101" s="205"/>
      <c r="D101" s="204"/>
      <c r="E101" s="195">
        <f>SUM(E59:E99)</f>
        <v>4837658.3999999994</v>
      </c>
      <c r="F101" s="195">
        <f>SUM(F59:F99)</f>
        <v>0</v>
      </c>
      <c r="G101" s="195">
        <f>SUM(G59:G99)</f>
        <v>4837658.3999999994</v>
      </c>
      <c r="H101" s="204"/>
      <c r="I101" s="205"/>
      <c r="J101" s="205"/>
      <c r="K101" s="204"/>
      <c r="L101" s="204"/>
      <c r="M101" s="204"/>
    </row>
    <row r="102" spans="1:46" s="4" customFormat="1" ht="18.75" x14ac:dyDescent="0.25">
      <c r="A102" s="392" t="s">
        <v>17</v>
      </c>
      <c r="B102" s="392"/>
      <c r="C102" s="392"/>
      <c r="D102" s="392"/>
      <c r="E102" s="392"/>
      <c r="F102" s="392"/>
      <c r="G102" s="392"/>
      <c r="H102" s="392"/>
      <c r="I102" s="392"/>
      <c r="J102" s="392"/>
      <c r="K102" s="392"/>
      <c r="L102" s="392"/>
      <c r="M102" s="392"/>
      <c r="N102" s="39"/>
      <c r="O102" s="39"/>
      <c r="P102" s="39"/>
      <c r="Q102" s="39"/>
      <c r="R102" s="39"/>
      <c r="S102" s="39"/>
      <c r="T102" s="39"/>
      <c r="U102" s="39"/>
      <c r="V102" s="39"/>
      <c r="W102" s="39"/>
      <c r="X102" s="39"/>
      <c r="Y102" s="39"/>
      <c r="Z102" s="39"/>
      <c r="AA102" s="39"/>
      <c r="AB102" s="39"/>
      <c r="AC102" s="39"/>
      <c r="AD102" s="39"/>
      <c r="AE102" s="39"/>
      <c r="AF102" s="39"/>
      <c r="AG102" s="39"/>
      <c r="AH102" s="39"/>
      <c r="AI102" s="39"/>
      <c r="AJ102" s="39"/>
      <c r="AK102" s="39"/>
      <c r="AL102" s="39"/>
      <c r="AM102" s="39"/>
      <c r="AN102" s="39"/>
      <c r="AO102" s="39"/>
      <c r="AP102" s="39"/>
      <c r="AQ102" s="39"/>
      <c r="AR102" s="39"/>
      <c r="AS102" s="39"/>
      <c r="AT102" s="39"/>
    </row>
    <row r="103" spans="1:46" ht="31.5" x14ac:dyDescent="0.25">
      <c r="A103" s="15">
        <v>1</v>
      </c>
      <c r="B103" s="1" t="str">
        <f>'[2]1. Detailed Budget POA'!$M$7</f>
        <v>Site visit (1 or 2) to an fully developed tax administration with a mature e-Tax model in place (quantity in person days)</v>
      </c>
      <c r="C103" s="22" t="s">
        <v>3</v>
      </c>
      <c r="D103" s="22" t="s">
        <v>0</v>
      </c>
      <c r="E103" s="17">
        <f>'1. Detailed Budget POA'!P7</f>
        <v>49950</v>
      </c>
      <c r="F103" s="17"/>
      <c r="G103" s="9">
        <f>E103</f>
        <v>49950</v>
      </c>
      <c r="H103" s="269" t="s">
        <v>318</v>
      </c>
      <c r="I103" s="19" t="s">
        <v>39</v>
      </c>
      <c r="J103" s="102" t="s">
        <v>30</v>
      </c>
      <c r="K103" s="268" t="s">
        <v>67</v>
      </c>
      <c r="L103" s="268" t="s">
        <v>316</v>
      </c>
      <c r="M103" s="1"/>
      <c r="AL103" s="56"/>
      <c r="AM103" s="56"/>
      <c r="AN103" s="56"/>
      <c r="AO103" s="56"/>
      <c r="AP103" s="56"/>
      <c r="AQ103" s="56"/>
      <c r="AR103" s="56"/>
      <c r="AS103" s="56"/>
      <c r="AT103" s="56"/>
    </row>
    <row r="104" spans="1:46" ht="31.5" x14ac:dyDescent="0.25">
      <c r="A104" s="15">
        <f>A103+1</f>
        <v>2</v>
      </c>
      <c r="B104" s="1" t="str">
        <f>'[2]1. Detailed Budget POA'!$M$12</f>
        <v xml:space="preserve">Help Desk:  undertake civil works and acquire telephone system; contractor to train staff for the help desk (call and counter) for taxpayer queries. </v>
      </c>
      <c r="C104" s="22" t="s">
        <v>3</v>
      </c>
      <c r="D104" s="22" t="s">
        <v>0</v>
      </c>
      <c r="E104" s="17">
        <f>'1. Detailed Budget POA'!P12</f>
        <v>150000</v>
      </c>
      <c r="F104" s="17"/>
      <c r="G104" s="9">
        <f t="shared" ref="G104:G131" si="8">E104</f>
        <v>150000</v>
      </c>
      <c r="H104" s="269" t="s">
        <v>319</v>
      </c>
      <c r="I104" s="19" t="s">
        <v>39</v>
      </c>
      <c r="J104" s="102" t="s">
        <v>30</v>
      </c>
      <c r="K104" s="268" t="s">
        <v>67</v>
      </c>
      <c r="L104" s="268" t="s">
        <v>316</v>
      </c>
      <c r="M104" s="1"/>
      <c r="AL104" s="56"/>
      <c r="AM104" s="56"/>
      <c r="AN104" s="56"/>
      <c r="AO104" s="56"/>
      <c r="AP104" s="56"/>
      <c r="AQ104" s="56"/>
      <c r="AR104" s="56"/>
      <c r="AS104" s="56"/>
      <c r="AT104" s="56"/>
    </row>
    <row r="105" spans="1:46" ht="31.5" x14ac:dyDescent="0.25">
      <c r="A105" s="15">
        <f t="shared" ref="A105:A129" si="9">A104+1</f>
        <v>3</v>
      </c>
      <c r="B105" s="1" t="str">
        <f>'[2]1. Detailed Budget POA'!$M$13</f>
        <v>Procure necessary building fit-up changes, furniture and equipment required to support taxpayer self-service outlets in tax offices and any seasonal ones.</v>
      </c>
      <c r="C105" s="22" t="s">
        <v>3</v>
      </c>
      <c r="D105" s="22" t="s">
        <v>0</v>
      </c>
      <c r="E105" s="17">
        <f>'1. Detailed Budget POA'!P13</f>
        <v>20000</v>
      </c>
      <c r="F105" s="17"/>
      <c r="G105" s="9">
        <f t="shared" si="8"/>
        <v>20000</v>
      </c>
      <c r="H105" s="269" t="s">
        <v>319</v>
      </c>
      <c r="I105" s="19" t="s">
        <v>39</v>
      </c>
      <c r="J105" s="102" t="s">
        <v>30</v>
      </c>
      <c r="K105" s="268" t="s">
        <v>67</v>
      </c>
      <c r="L105" s="268" t="s">
        <v>316</v>
      </c>
      <c r="M105" s="1"/>
      <c r="AL105" s="56"/>
      <c r="AM105" s="56"/>
      <c r="AN105" s="56"/>
      <c r="AO105" s="56"/>
      <c r="AP105" s="56"/>
      <c r="AQ105" s="56"/>
      <c r="AR105" s="56"/>
      <c r="AS105" s="56"/>
      <c r="AT105" s="56"/>
    </row>
    <row r="106" spans="1:46" x14ac:dyDescent="0.25">
      <c r="A106" s="15">
        <f t="shared" si="9"/>
        <v>4</v>
      </c>
      <c r="B106" s="1" t="str">
        <f>'[2]1. Detailed Budget POA'!$M$45</f>
        <v>OTA membership in the WCO</v>
      </c>
      <c r="C106" s="22" t="s">
        <v>3</v>
      </c>
      <c r="D106" s="22" t="s">
        <v>0</v>
      </c>
      <c r="E106" s="17">
        <f>'1. Detailed Budget POA'!P45</f>
        <v>100000</v>
      </c>
      <c r="F106" s="17"/>
      <c r="G106" s="9">
        <f t="shared" si="8"/>
        <v>100000</v>
      </c>
      <c r="H106" s="269" t="s">
        <v>321</v>
      </c>
      <c r="I106" s="19" t="s">
        <v>39</v>
      </c>
      <c r="J106" s="102" t="s">
        <v>30</v>
      </c>
      <c r="K106" s="268" t="s">
        <v>67</v>
      </c>
      <c r="L106" s="268" t="s">
        <v>313</v>
      </c>
      <c r="M106" s="1"/>
      <c r="AL106" s="56"/>
      <c r="AM106" s="56"/>
      <c r="AN106" s="56"/>
      <c r="AO106" s="56"/>
      <c r="AP106" s="56"/>
      <c r="AQ106" s="56"/>
      <c r="AR106" s="56"/>
      <c r="AS106" s="56"/>
      <c r="AT106" s="56"/>
    </row>
    <row r="107" spans="1:46" x14ac:dyDescent="0.25">
      <c r="A107" s="15">
        <f t="shared" si="9"/>
        <v>5</v>
      </c>
      <c r="B107" s="1" t="str">
        <f>'[2]1. Detailed Budget POA'!$M$50</f>
        <v>Fixed scanning equipment acquired via RFP process</v>
      </c>
      <c r="C107" s="22" t="s">
        <v>3</v>
      </c>
      <c r="D107" s="22" t="s">
        <v>0</v>
      </c>
      <c r="E107" s="17">
        <f>'1. Detailed Budget POA'!P50</f>
        <v>3000000</v>
      </c>
      <c r="F107" s="17"/>
      <c r="G107" s="9">
        <f t="shared" si="8"/>
        <v>3000000</v>
      </c>
      <c r="H107" s="269" t="s">
        <v>322</v>
      </c>
      <c r="I107" s="19" t="s">
        <v>39</v>
      </c>
      <c r="J107" s="102" t="s">
        <v>30</v>
      </c>
      <c r="K107" s="268" t="s">
        <v>68</v>
      </c>
      <c r="L107" s="268" t="s">
        <v>353</v>
      </c>
      <c r="M107" s="1"/>
      <c r="AL107" s="56"/>
      <c r="AM107" s="56"/>
      <c r="AN107" s="56"/>
      <c r="AO107" s="56"/>
      <c r="AP107" s="56"/>
      <c r="AQ107" s="56"/>
      <c r="AR107" s="56"/>
      <c r="AS107" s="56"/>
      <c r="AT107" s="56"/>
    </row>
    <row r="108" spans="1:46" x14ac:dyDescent="0.25">
      <c r="A108" s="15">
        <f t="shared" si="9"/>
        <v>6</v>
      </c>
      <c r="B108" s="1" t="str">
        <f>'[2]1. Detailed Budget POA'!$M$51</f>
        <v>Mobile scanning equipment acquired via RFP process</v>
      </c>
      <c r="C108" s="22" t="s">
        <v>3</v>
      </c>
      <c r="D108" s="22" t="s">
        <v>0</v>
      </c>
      <c r="E108" s="17">
        <f>'1. Detailed Budget POA'!P51</f>
        <v>0</v>
      </c>
      <c r="F108" s="17"/>
      <c r="G108" s="9">
        <f t="shared" si="8"/>
        <v>0</v>
      </c>
      <c r="H108" s="22">
        <v>1</v>
      </c>
      <c r="I108" s="19" t="s">
        <v>39</v>
      </c>
      <c r="J108" s="102" t="s">
        <v>30</v>
      </c>
      <c r="K108" s="268" t="s">
        <v>67</v>
      </c>
      <c r="L108" s="268" t="s">
        <v>316</v>
      </c>
      <c r="M108" s="1"/>
      <c r="AL108" s="56"/>
      <c r="AM108" s="56"/>
      <c r="AN108" s="56"/>
      <c r="AO108" s="56"/>
      <c r="AP108" s="56"/>
      <c r="AQ108" s="56"/>
      <c r="AR108" s="56"/>
      <c r="AS108" s="56"/>
      <c r="AT108" s="56"/>
    </row>
    <row r="109" spans="1:46" ht="31.5" x14ac:dyDescent="0.25">
      <c r="A109" s="15">
        <f t="shared" si="9"/>
        <v>7</v>
      </c>
      <c r="B109" s="1" t="str">
        <f>'[2]1. Detailed Budget POA'!$M$62</f>
        <v>New tax administration COTS system that has been selected under OTA procurement process.</v>
      </c>
      <c r="C109" s="22" t="s">
        <v>3</v>
      </c>
      <c r="D109" s="22" t="s">
        <v>0</v>
      </c>
      <c r="E109" s="17">
        <f>'1. Detailed Budget POA'!P62</f>
        <v>5000000</v>
      </c>
      <c r="F109" s="17"/>
      <c r="G109" s="9">
        <f t="shared" si="8"/>
        <v>5000000</v>
      </c>
      <c r="H109" s="269" t="s">
        <v>325</v>
      </c>
      <c r="I109" s="19" t="s">
        <v>39</v>
      </c>
      <c r="J109" s="102" t="s">
        <v>30</v>
      </c>
      <c r="K109" s="268" t="s">
        <v>67</v>
      </c>
      <c r="L109" s="268" t="s">
        <v>353</v>
      </c>
      <c r="M109" s="1"/>
      <c r="AL109" s="56"/>
      <c r="AM109" s="56"/>
      <c r="AN109" s="56"/>
      <c r="AO109" s="56"/>
      <c r="AP109" s="56"/>
      <c r="AQ109" s="56"/>
      <c r="AR109" s="56"/>
      <c r="AS109" s="56"/>
      <c r="AT109" s="56"/>
    </row>
    <row r="110" spans="1:46" ht="47.25" x14ac:dyDescent="0.25">
      <c r="A110" s="15">
        <f t="shared" si="9"/>
        <v>8</v>
      </c>
      <c r="B110" s="1" t="str">
        <f>'[2]1. Detailed Budget POA'!$M$63</f>
        <v>Acquire current technology (network, servers, PC’s, printers, anti-malware and intrusion detection) to support the new IT software and locate it in a Government (or Ministry) primary and disaster recover data centres</v>
      </c>
      <c r="C110" s="22" t="s">
        <v>3</v>
      </c>
      <c r="D110" s="22" t="s">
        <v>0</v>
      </c>
      <c r="E110" s="17">
        <f>'1. Detailed Budget POA'!P63</f>
        <v>1100000</v>
      </c>
      <c r="F110" s="17"/>
      <c r="G110" s="9">
        <f t="shared" si="8"/>
        <v>1100000</v>
      </c>
      <c r="H110" s="269" t="s">
        <v>325</v>
      </c>
      <c r="I110" s="19" t="s">
        <v>39</v>
      </c>
      <c r="J110" s="102" t="s">
        <v>30</v>
      </c>
      <c r="K110" s="268" t="s">
        <v>67</v>
      </c>
      <c r="L110" s="268" t="s">
        <v>353</v>
      </c>
      <c r="M110" s="1"/>
      <c r="AL110" s="56"/>
      <c r="AM110" s="56"/>
      <c r="AN110" s="56"/>
      <c r="AO110" s="56"/>
      <c r="AP110" s="56"/>
      <c r="AQ110" s="56"/>
      <c r="AR110" s="56"/>
      <c r="AS110" s="56"/>
      <c r="AT110" s="56"/>
    </row>
    <row r="111" spans="1:46" ht="31.5" x14ac:dyDescent="0.25">
      <c r="A111" s="15">
        <f t="shared" si="9"/>
        <v>9</v>
      </c>
      <c r="B111" s="1" t="str">
        <f>'[2]1. Detailed Budget POA'!$M$64</f>
        <v xml:space="preserve">Disaster Recovery / business continuity centre for Data Centre to be established to provide adequate resilience for IT systems </v>
      </c>
      <c r="C111" s="22" t="s">
        <v>3</v>
      </c>
      <c r="D111" s="22" t="s">
        <v>0</v>
      </c>
      <c r="E111" s="17">
        <f>'1. Detailed Budget POA'!P64</f>
        <v>1000000</v>
      </c>
      <c r="F111" s="17"/>
      <c r="G111" s="9">
        <f t="shared" si="8"/>
        <v>1000000</v>
      </c>
      <c r="H111" s="269" t="s">
        <v>325</v>
      </c>
      <c r="I111" s="19" t="s">
        <v>39</v>
      </c>
      <c r="J111" s="102" t="s">
        <v>30</v>
      </c>
      <c r="K111" s="268" t="s">
        <v>67</v>
      </c>
      <c r="L111" s="268" t="s">
        <v>353</v>
      </c>
      <c r="M111" s="1"/>
      <c r="AL111" s="56"/>
      <c r="AM111" s="56"/>
      <c r="AN111" s="56"/>
      <c r="AO111" s="56"/>
      <c r="AP111" s="56"/>
      <c r="AQ111" s="56"/>
      <c r="AR111" s="56"/>
      <c r="AS111" s="56"/>
      <c r="AT111" s="56"/>
    </row>
    <row r="112" spans="1:46" ht="31.5" x14ac:dyDescent="0.25">
      <c r="A112" s="15">
        <f t="shared" si="9"/>
        <v>10</v>
      </c>
      <c r="B112" s="1" t="str">
        <f>'[2]1. Detailed Budget POA'!$M$65</f>
        <v>Technical assistance to define and establish electronic linkages with other government departments under MOU’s to allow data exchange (bi-directional) for more timely reporting</v>
      </c>
      <c r="C112" s="22" t="s">
        <v>3</v>
      </c>
      <c r="D112" s="22" t="s">
        <v>0</v>
      </c>
      <c r="E112" s="17">
        <f>'1. Detailed Budget POA'!P65</f>
        <v>13860</v>
      </c>
      <c r="F112" s="17"/>
      <c r="G112" s="9">
        <f t="shared" si="8"/>
        <v>13860</v>
      </c>
      <c r="H112" s="269" t="s">
        <v>325</v>
      </c>
      <c r="I112" s="19" t="s">
        <v>39</v>
      </c>
      <c r="J112" s="102" t="s">
        <v>30</v>
      </c>
      <c r="K112" s="268" t="s">
        <v>67</v>
      </c>
      <c r="L112" s="268" t="s">
        <v>353</v>
      </c>
      <c r="M112" s="1"/>
      <c r="AL112" s="56"/>
      <c r="AM112" s="56"/>
      <c r="AN112" s="56"/>
      <c r="AO112" s="56"/>
      <c r="AP112" s="56"/>
      <c r="AQ112" s="56"/>
      <c r="AR112" s="56"/>
      <c r="AS112" s="56"/>
      <c r="AT112" s="56"/>
    </row>
    <row r="113" spans="1:46" ht="31.5" x14ac:dyDescent="0.25">
      <c r="A113" s="15">
        <f t="shared" si="9"/>
        <v>11</v>
      </c>
      <c r="B113" s="1" t="str">
        <f>'[2]1. Detailed Budget POA'!$M$76</f>
        <v>Generator and UPS for main customs operations building in the port (to replace current system which has failed).</v>
      </c>
      <c r="C113" s="22" t="s">
        <v>3</v>
      </c>
      <c r="D113" s="22" t="s">
        <v>0</v>
      </c>
      <c r="E113" s="17">
        <f>'1. Detailed Budget POA'!P76</f>
        <v>55000</v>
      </c>
      <c r="F113" s="17"/>
      <c r="G113" s="9">
        <f t="shared" si="8"/>
        <v>55000</v>
      </c>
      <c r="H113" s="269" t="s">
        <v>326</v>
      </c>
      <c r="I113" s="19" t="s">
        <v>39</v>
      </c>
      <c r="J113" s="102" t="s">
        <v>30</v>
      </c>
      <c r="K113" s="268" t="s">
        <v>67</v>
      </c>
      <c r="L113" s="268" t="s">
        <v>353</v>
      </c>
      <c r="M113" s="1"/>
      <c r="AL113" s="56"/>
      <c r="AM113" s="56"/>
      <c r="AN113" s="56"/>
      <c r="AO113" s="56"/>
      <c r="AP113" s="56"/>
      <c r="AQ113" s="56"/>
      <c r="AR113" s="56"/>
      <c r="AS113" s="56"/>
      <c r="AT113" s="56"/>
    </row>
    <row r="114" spans="1:46" ht="31.5" x14ac:dyDescent="0.25">
      <c r="A114" s="15">
        <f t="shared" si="9"/>
        <v>12</v>
      </c>
      <c r="B114" s="1" t="str">
        <f>'[2]1. Detailed Budget POA'!$M$77</f>
        <v>Vehicles for tax and customs collections, enforcement and compliance activities procured and deployed.</v>
      </c>
      <c r="C114" s="22" t="s">
        <v>3</v>
      </c>
      <c r="D114" s="22" t="s">
        <v>0</v>
      </c>
      <c r="E114" s="17">
        <f>'1. Detailed Budget POA'!P77</f>
        <v>555000</v>
      </c>
      <c r="F114" s="17"/>
      <c r="G114" s="9">
        <f t="shared" si="8"/>
        <v>555000</v>
      </c>
      <c r="H114" s="269" t="s">
        <v>326</v>
      </c>
      <c r="I114" s="19" t="s">
        <v>39</v>
      </c>
      <c r="J114" s="102" t="s">
        <v>30</v>
      </c>
      <c r="K114" s="268" t="s">
        <v>67</v>
      </c>
      <c r="L114" s="268" t="s">
        <v>353</v>
      </c>
      <c r="M114" s="1"/>
      <c r="AL114" s="56"/>
      <c r="AM114" s="56"/>
      <c r="AN114" s="56"/>
      <c r="AO114" s="56"/>
      <c r="AP114" s="56"/>
      <c r="AQ114" s="56"/>
      <c r="AR114" s="56"/>
      <c r="AS114" s="56"/>
      <c r="AT114" s="56"/>
    </row>
    <row r="115" spans="1:46" x14ac:dyDescent="0.25">
      <c r="A115" s="15">
        <f t="shared" si="9"/>
        <v>13</v>
      </c>
      <c r="B115" s="1" t="str">
        <f>'[2]1. Detailed Budget POA'!$M$78</f>
        <v>Procure mail equipment including its installation and training in its use.</v>
      </c>
      <c r="C115" s="22" t="s">
        <v>3</v>
      </c>
      <c r="D115" s="22" t="s">
        <v>0</v>
      </c>
      <c r="E115" s="17">
        <f>'1. Detailed Budget POA'!P78</f>
        <v>45000</v>
      </c>
      <c r="F115" s="17"/>
      <c r="G115" s="9">
        <f t="shared" si="8"/>
        <v>45000</v>
      </c>
      <c r="H115" s="269" t="s">
        <v>326</v>
      </c>
      <c r="I115" s="19" t="s">
        <v>39</v>
      </c>
      <c r="J115" s="102" t="s">
        <v>30</v>
      </c>
      <c r="K115" s="268" t="s">
        <v>67</v>
      </c>
      <c r="L115" s="268" t="s">
        <v>353</v>
      </c>
      <c r="M115" s="1"/>
      <c r="AL115" s="56"/>
      <c r="AM115" s="56"/>
      <c r="AN115" s="56"/>
      <c r="AO115" s="56"/>
      <c r="AP115" s="56"/>
      <c r="AQ115" s="56"/>
      <c r="AR115" s="56"/>
      <c r="AS115" s="56"/>
      <c r="AT115" s="56"/>
    </row>
    <row r="116" spans="1:46" x14ac:dyDescent="0.25">
      <c r="A116" s="15">
        <f t="shared" si="9"/>
        <v>14</v>
      </c>
      <c r="B116" s="1" t="str">
        <f>'[2]1. Detailed Budget POA'!$M$79</f>
        <v>Communications equipment acquired and deployment.</v>
      </c>
      <c r="C116" s="22" t="s">
        <v>3</v>
      </c>
      <c r="D116" s="22" t="s">
        <v>0</v>
      </c>
      <c r="E116" s="17">
        <f>'1. Detailed Budget POA'!P79</f>
        <v>40000</v>
      </c>
      <c r="F116" s="17"/>
      <c r="G116" s="9">
        <f t="shared" si="8"/>
        <v>40000</v>
      </c>
      <c r="H116" s="269" t="s">
        <v>326</v>
      </c>
      <c r="I116" s="19" t="s">
        <v>39</v>
      </c>
      <c r="J116" s="102" t="s">
        <v>30</v>
      </c>
      <c r="K116" s="268" t="s">
        <v>67</v>
      </c>
      <c r="L116" s="268" t="s">
        <v>353</v>
      </c>
      <c r="M116" s="1"/>
      <c r="AL116" s="56"/>
      <c r="AM116" s="56"/>
      <c r="AN116" s="56"/>
      <c r="AO116" s="56"/>
      <c r="AP116" s="56"/>
      <c r="AQ116" s="56"/>
      <c r="AR116" s="56"/>
      <c r="AS116" s="56"/>
      <c r="AT116" s="56"/>
    </row>
    <row r="117" spans="1:46" x14ac:dyDescent="0.25">
      <c r="A117" s="15">
        <f t="shared" si="9"/>
        <v>15</v>
      </c>
      <c r="B117" s="1" t="str">
        <f>'[2]1. Detailed Budget POA'!$M$85</f>
        <v>Publication services and tools for training delivery</v>
      </c>
      <c r="C117" s="22" t="s">
        <v>3</v>
      </c>
      <c r="D117" s="22" t="s">
        <v>0</v>
      </c>
      <c r="E117" s="17">
        <f>'1. Detailed Budget POA'!P85</f>
        <v>40000</v>
      </c>
      <c r="F117" s="17"/>
      <c r="G117" s="9">
        <f t="shared" si="8"/>
        <v>40000</v>
      </c>
      <c r="H117" s="269" t="s">
        <v>350</v>
      </c>
      <c r="I117" s="19" t="s">
        <v>39</v>
      </c>
      <c r="J117" s="102" t="s">
        <v>30</v>
      </c>
      <c r="K117" s="268" t="s">
        <v>69</v>
      </c>
      <c r="L117" s="268" t="s">
        <v>315</v>
      </c>
      <c r="M117" s="1"/>
      <c r="AL117" s="56"/>
      <c r="AM117" s="56"/>
      <c r="AN117" s="56"/>
      <c r="AO117" s="56"/>
      <c r="AP117" s="56"/>
      <c r="AQ117" s="56"/>
      <c r="AR117" s="56"/>
      <c r="AS117" s="56"/>
      <c r="AT117" s="56"/>
    </row>
    <row r="118" spans="1:46" s="58" customFormat="1" x14ac:dyDescent="0.25">
      <c r="A118" s="15">
        <f t="shared" si="9"/>
        <v>16</v>
      </c>
      <c r="B118" s="1" t="str">
        <f>'[2]1. Detailed Budget POA'!$M$98</f>
        <v>E-Learning platform with all technological components</v>
      </c>
      <c r="C118" s="22" t="s">
        <v>3</v>
      </c>
      <c r="D118" s="22" t="s">
        <v>0</v>
      </c>
      <c r="E118" s="17">
        <f>'1. Detailed Budget POA'!P98</f>
        <v>300000</v>
      </c>
      <c r="F118" s="17"/>
      <c r="G118" s="9">
        <f t="shared" si="8"/>
        <v>300000</v>
      </c>
      <c r="H118" s="269" t="s">
        <v>327</v>
      </c>
      <c r="I118" s="19" t="s">
        <v>39</v>
      </c>
      <c r="J118" s="102" t="s">
        <v>30</v>
      </c>
      <c r="K118" s="268" t="s">
        <v>67</v>
      </c>
      <c r="L118" s="268" t="s">
        <v>316</v>
      </c>
      <c r="M118" s="55"/>
      <c r="N118" s="56"/>
      <c r="O118" s="56"/>
      <c r="P118" s="56"/>
      <c r="Q118" s="56"/>
      <c r="R118" s="56"/>
      <c r="S118" s="56"/>
      <c r="T118" s="56"/>
      <c r="U118" s="56"/>
      <c r="V118" s="56"/>
      <c r="W118" s="56"/>
      <c r="X118" s="56"/>
      <c r="Y118" s="56"/>
      <c r="Z118" s="56"/>
      <c r="AA118" s="56"/>
      <c r="AB118" s="56"/>
      <c r="AC118" s="56"/>
      <c r="AD118" s="56"/>
      <c r="AE118" s="56"/>
      <c r="AF118" s="56"/>
      <c r="AG118" s="56"/>
      <c r="AH118" s="56"/>
      <c r="AI118" s="56"/>
      <c r="AJ118" s="56"/>
      <c r="AK118" s="56"/>
    </row>
    <row r="119" spans="1:46" s="58" customFormat="1" x14ac:dyDescent="0.25">
      <c r="A119" s="15">
        <f>A117+1</f>
        <v>16</v>
      </c>
      <c r="B119" s="1" t="str">
        <f>'[2]1. Detailed Budget POA'!$M$111</f>
        <v>Technological Infrastructure</v>
      </c>
      <c r="C119" s="22" t="s">
        <v>3</v>
      </c>
      <c r="D119" s="22" t="s">
        <v>0</v>
      </c>
      <c r="E119" s="17">
        <f>'1. Detailed Budget POA'!P111</f>
        <v>300000</v>
      </c>
      <c r="F119" s="17"/>
      <c r="G119" s="9">
        <f t="shared" ref="G119" si="10">E119</f>
        <v>300000</v>
      </c>
      <c r="H119" s="269" t="s">
        <v>329</v>
      </c>
      <c r="I119" s="19" t="s">
        <v>39</v>
      </c>
      <c r="J119" s="102" t="s">
        <v>30</v>
      </c>
      <c r="K119" s="268" t="s">
        <v>67</v>
      </c>
      <c r="L119" s="268" t="s">
        <v>315</v>
      </c>
      <c r="M119" s="55"/>
      <c r="N119" s="56"/>
      <c r="O119" s="56"/>
      <c r="P119" s="56"/>
      <c r="Q119" s="56"/>
      <c r="R119" s="56"/>
      <c r="S119" s="56"/>
      <c r="T119" s="56"/>
      <c r="U119" s="56"/>
      <c r="V119" s="56"/>
      <c r="W119" s="56"/>
      <c r="X119" s="56"/>
      <c r="Y119" s="56"/>
      <c r="Z119" s="56"/>
      <c r="AA119" s="56"/>
      <c r="AB119" s="56"/>
      <c r="AC119" s="56"/>
      <c r="AD119" s="56"/>
      <c r="AE119" s="56"/>
      <c r="AF119" s="56"/>
      <c r="AG119" s="56"/>
      <c r="AH119" s="56"/>
      <c r="AI119" s="56"/>
      <c r="AJ119" s="56"/>
      <c r="AK119" s="56"/>
    </row>
    <row r="120" spans="1:46" s="58" customFormat="1" x14ac:dyDescent="0.25">
      <c r="A120" s="15">
        <f>A118+1</f>
        <v>17</v>
      </c>
      <c r="B120" s="1" t="str">
        <f>'[2]1. Detailed Budget POA'!$M$121</f>
        <v>Methodology for forecasting expenditure and revenue</v>
      </c>
      <c r="C120" s="22" t="s">
        <v>3</v>
      </c>
      <c r="D120" s="22" t="s">
        <v>0</v>
      </c>
      <c r="E120" s="17">
        <f>'1. Detailed Budget POA'!P121</f>
        <v>100000</v>
      </c>
      <c r="F120" s="17"/>
      <c r="G120" s="9">
        <f t="shared" si="8"/>
        <v>100000</v>
      </c>
      <c r="H120" s="269" t="s">
        <v>330</v>
      </c>
      <c r="I120" s="19" t="s">
        <v>39</v>
      </c>
      <c r="J120" s="102" t="s">
        <v>30</v>
      </c>
      <c r="K120" s="268" t="s">
        <v>67</v>
      </c>
      <c r="L120" s="268" t="s">
        <v>315</v>
      </c>
      <c r="M120" s="55"/>
      <c r="N120" s="56"/>
      <c r="O120" s="56"/>
      <c r="P120" s="56"/>
      <c r="Q120" s="56"/>
      <c r="R120" s="56"/>
      <c r="S120" s="56"/>
      <c r="T120" s="56"/>
      <c r="U120" s="56"/>
      <c r="V120" s="56"/>
      <c r="W120" s="56"/>
      <c r="X120" s="56"/>
      <c r="Y120" s="56"/>
      <c r="Z120" s="56"/>
      <c r="AA120" s="56"/>
      <c r="AB120" s="56"/>
      <c r="AC120" s="56"/>
      <c r="AD120" s="56"/>
      <c r="AE120" s="56"/>
      <c r="AF120" s="56"/>
      <c r="AG120" s="56"/>
      <c r="AH120" s="56"/>
      <c r="AI120" s="56"/>
      <c r="AJ120" s="56"/>
      <c r="AK120" s="56"/>
    </row>
    <row r="121" spans="1:46" s="58" customFormat="1" x14ac:dyDescent="0.25">
      <c r="A121" s="15">
        <f t="shared" si="9"/>
        <v>18</v>
      </c>
      <c r="B121" s="1" t="str">
        <f>'[2]1. Detailed Budget POA'!$M$134</f>
        <v>Equipment (Servers, computer, other equipment)</v>
      </c>
      <c r="C121" s="22" t="s">
        <v>3</v>
      </c>
      <c r="D121" s="22" t="s">
        <v>0</v>
      </c>
      <c r="E121" s="17">
        <f>'1. Detailed Budget POA'!P134</f>
        <v>100000</v>
      </c>
      <c r="F121" s="17"/>
      <c r="G121" s="9">
        <f t="shared" si="8"/>
        <v>100000</v>
      </c>
      <c r="H121" s="269" t="s">
        <v>331</v>
      </c>
      <c r="I121" s="19" t="s">
        <v>39</v>
      </c>
      <c r="J121" s="102" t="s">
        <v>30</v>
      </c>
      <c r="K121" s="268" t="s">
        <v>67</v>
      </c>
      <c r="L121" s="268" t="s">
        <v>316</v>
      </c>
      <c r="M121" s="55"/>
      <c r="N121" s="56"/>
      <c r="O121" s="56"/>
      <c r="P121" s="56"/>
      <c r="Q121" s="56"/>
      <c r="R121" s="56"/>
      <c r="S121" s="56"/>
      <c r="T121" s="56"/>
      <c r="U121" s="56"/>
      <c r="V121" s="56"/>
      <c r="W121" s="56"/>
      <c r="X121" s="56"/>
      <c r="Y121" s="56"/>
      <c r="Z121" s="56"/>
      <c r="AA121" s="56"/>
      <c r="AB121" s="56"/>
      <c r="AC121" s="56"/>
      <c r="AD121" s="56"/>
      <c r="AE121" s="56"/>
      <c r="AF121" s="56"/>
      <c r="AG121" s="56"/>
      <c r="AH121" s="56"/>
      <c r="AI121" s="56"/>
      <c r="AJ121" s="56"/>
      <c r="AK121" s="56"/>
    </row>
    <row r="122" spans="1:46" s="58" customFormat="1" x14ac:dyDescent="0.25">
      <c r="A122" s="15">
        <f t="shared" si="9"/>
        <v>19</v>
      </c>
      <c r="B122" s="1" t="str">
        <f>'[2]1. Detailed Budget POA'!$M$135</f>
        <v>Tools for analytical evaluations</v>
      </c>
      <c r="C122" s="22" t="s">
        <v>3</v>
      </c>
      <c r="D122" s="22" t="s">
        <v>0</v>
      </c>
      <c r="E122" s="17">
        <f>'1. Detailed Budget POA'!P135</f>
        <v>50000</v>
      </c>
      <c r="F122" s="17"/>
      <c r="G122" s="9">
        <f t="shared" si="8"/>
        <v>50000</v>
      </c>
      <c r="H122" s="269" t="s">
        <v>331</v>
      </c>
      <c r="I122" s="19" t="s">
        <v>39</v>
      </c>
      <c r="J122" s="102" t="s">
        <v>30</v>
      </c>
      <c r="K122" s="268" t="s">
        <v>68</v>
      </c>
      <c r="L122" s="268" t="s">
        <v>316</v>
      </c>
      <c r="M122" s="55"/>
      <c r="N122" s="56"/>
      <c r="O122" s="56"/>
      <c r="P122" s="56"/>
      <c r="Q122" s="56"/>
      <c r="R122" s="56"/>
      <c r="S122" s="56"/>
      <c r="T122" s="56"/>
      <c r="U122" s="56"/>
      <c r="V122" s="56"/>
      <c r="W122" s="56"/>
      <c r="X122" s="56"/>
      <c r="Y122" s="56"/>
      <c r="Z122" s="56"/>
      <c r="AA122" s="56"/>
      <c r="AB122" s="56"/>
      <c r="AC122" s="56"/>
      <c r="AD122" s="56"/>
      <c r="AE122" s="56"/>
      <c r="AF122" s="56"/>
      <c r="AG122" s="56"/>
      <c r="AH122" s="56"/>
      <c r="AI122" s="56"/>
      <c r="AJ122" s="56"/>
      <c r="AK122" s="56"/>
    </row>
    <row r="123" spans="1:46" s="58" customFormat="1" x14ac:dyDescent="0.25">
      <c r="A123" s="15">
        <f t="shared" si="9"/>
        <v>20</v>
      </c>
      <c r="B123" s="1" t="str">
        <f>'[2]1. Detailed Budget POA'!$M$136</f>
        <v>Electronic document management with support equipment</v>
      </c>
      <c r="C123" s="22" t="s">
        <v>3</v>
      </c>
      <c r="D123" s="22" t="s">
        <v>0</v>
      </c>
      <c r="E123" s="17">
        <f>'1. Detailed Budget POA'!P136</f>
        <v>50000</v>
      </c>
      <c r="F123" s="17"/>
      <c r="G123" s="9">
        <f t="shared" si="8"/>
        <v>50000</v>
      </c>
      <c r="H123" s="269" t="s">
        <v>331</v>
      </c>
      <c r="I123" s="19" t="s">
        <v>39</v>
      </c>
      <c r="J123" s="102" t="s">
        <v>30</v>
      </c>
      <c r="K123" s="268" t="s">
        <v>68</v>
      </c>
      <c r="L123" s="268" t="s">
        <v>316</v>
      </c>
      <c r="M123" s="55"/>
      <c r="N123" s="56"/>
      <c r="O123" s="56"/>
      <c r="P123" s="56"/>
      <c r="Q123" s="56"/>
      <c r="R123" s="56"/>
      <c r="S123" s="56"/>
      <c r="T123" s="56"/>
      <c r="U123" s="56"/>
      <c r="V123" s="56"/>
      <c r="W123" s="56"/>
      <c r="X123" s="56"/>
      <c r="Y123" s="56"/>
      <c r="Z123" s="56"/>
      <c r="AA123" s="56"/>
      <c r="AB123" s="56"/>
      <c r="AC123" s="56"/>
      <c r="AD123" s="56"/>
      <c r="AE123" s="56"/>
      <c r="AF123" s="56"/>
      <c r="AG123" s="56"/>
      <c r="AH123" s="56"/>
      <c r="AI123" s="56"/>
      <c r="AJ123" s="56"/>
      <c r="AK123" s="56"/>
    </row>
    <row r="124" spans="1:46" s="58" customFormat="1" x14ac:dyDescent="0.25">
      <c r="A124" s="15">
        <f>A122+1</f>
        <v>20</v>
      </c>
      <c r="B124" s="1" t="str">
        <f>'[2]1. Detailed Budget POA'!$M$143</f>
        <v>Electronic Government Procurement (off-the-shelf etendering and supplier register)</v>
      </c>
      <c r="C124" s="22" t="s">
        <v>3</v>
      </c>
      <c r="D124" s="22" t="s">
        <v>0</v>
      </c>
      <c r="E124" s="17">
        <f>'1. Detailed Budget POA'!P143</f>
        <v>700000</v>
      </c>
      <c r="F124" s="17"/>
      <c r="G124" s="9">
        <f t="shared" si="8"/>
        <v>700000</v>
      </c>
      <c r="H124" s="269" t="s">
        <v>332</v>
      </c>
      <c r="I124" s="19" t="s">
        <v>39</v>
      </c>
      <c r="J124" s="102" t="s">
        <v>30</v>
      </c>
      <c r="K124" s="268" t="s">
        <v>67</v>
      </c>
      <c r="L124" s="268" t="s">
        <v>353</v>
      </c>
      <c r="M124" s="55"/>
      <c r="N124" s="56"/>
      <c r="O124" s="56"/>
      <c r="P124" s="56"/>
      <c r="Q124" s="56"/>
      <c r="R124" s="56"/>
      <c r="S124" s="56"/>
      <c r="T124" s="56"/>
      <c r="U124" s="56"/>
      <c r="V124" s="56"/>
      <c r="W124" s="56"/>
      <c r="X124" s="56"/>
      <c r="Y124" s="56"/>
      <c r="Z124" s="56"/>
      <c r="AA124" s="56"/>
      <c r="AB124" s="56"/>
      <c r="AC124" s="56"/>
      <c r="AD124" s="56"/>
      <c r="AE124" s="56"/>
      <c r="AF124" s="56"/>
      <c r="AG124" s="56"/>
      <c r="AH124" s="56"/>
      <c r="AI124" s="56"/>
      <c r="AJ124" s="56"/>
      <c r="AK124" s="56"/>
    </row>
    <row r="125" spans="1:46" s="58" customFormat="1" x14ac:dyDescent="0.25">
      <c r="A125" s="15">
        <f>A123+1</f>
        <v>21</v>
      </c>
      <c r="B125" s="1" t="str">
        <f>'[2]1. Detailed Budget POA'!$M$150</f>
        <v>Implementation of data mining methodologies and tools.</v>
      </c>
      <c r="C125" s="22" t="s">
        <v>3</v>
      </c>
      <c r="D125" s="22" t="s">
        <v>0</v>
      </c>
      <c r="E125" s="17">
        <f>'1. Detailed Budget POA'!P150</f>
        <v>200000</v>
      </c>
      <c r="F125" s="17"/>
      <c r="G125" s="9">
        <f t="shared" si="8"/>
        <v>200000</v>
      </c>
      <c r="H125" s="269" t="s">
        <v>333</v>
      </c>
      <c r="I125" s="19" t="s">
        <v>37</v>
      </c>
      <c r="J125" s="102" t="s">
        <v>30</v>
      </c>
      <c r="K125" s="268" t="s">
        <v>68</v>
      </c>
      <c r="L125" s="268" t="s">
        <v>316</v>
      </c>
      <c r="M125" s="55"/>
      <c r="N125" s="56"/>
      <c r="O125" s="56"/>
      <c r="P125" s="56"/>
      <c r="Q125" s="56"/>
      <c r="R125" s="56"/>
      <c r="S125" s="56"/>
      <c r="T125" s="56"/>
      <c r="U125" s="56"/>
      <c r="V125" s="56"/>
      <c r="W125" s="56"/>
      <c r="X125" s="56"/>
      <c r="Y125" s="56"/>
      <c r="Z125" s="56"/>
      <c r="AA125" s="56"/>
      <c r="AB125" s="56"/>
      <c r="AC125" s="56"/>
      <c r="AD125" s="56"/>
      <c r="AE125" s="56"/>
      <c r="AF125" s="56"/>
      <c r="AG125" s="56"/>
      <c r="AH125" s="56"/>
      <c r="AI125" s="56"/>
      <c r="AJ125" s="56"/>
      <c r="AK125" s="56"/>
    </row>
    <row r="126" spans="1:46" s="58" customFormat="1" ht="31.5" x14ac:dyDescent="0.25">
      <c r="A126" s="15">
        <f t="shared" si="9"/>
        <v>22</v>
      </c>
      <c r="B126" s="1" t="str">
        <f>'[2]1. Detailed Budget POA'!$M$172</f>
        <v>Implementation of tools and methodologies for the audit of the main government information systems (financial management, tax and customs administration).</v>
      </c>
      <c r="C126" s="22" t="s">
        <v>3</v>
      </c>
      <c r="D126" s="22" t="s">
        <v>0</v>
      </c>
      <c r="E126" s="17">
        <f>'1. Detailed Budget POA'!P172</f>
        <v>200000</v>
      </c>
      <c r="F126" s="17"/>
      <c r="G126" s="9">
        <f t="shared" si="8"/>
        <v>200000</v>
      </c>
      <c r="H126" s="269" t="s">
        <v>336</v>
      </c>
      <c r="I126" s="19" t="s">
        <v>37</v>
      </c>
      <c r="J126" s="102" t="s">
        <v>30</v>
      </c>
      <c r="K126" s="268" t="s">
        <v>69</v>
      </c>
      <c r="L126" s="268" t="s">
        <v>315</v>
      </c>
      <c r="M126" s="55"/>
      <c r="N126" s="56"/>
      <c r="O126" s="56"/>
      <c r="P126" s="56"/>
      <c r="Q126" s="56"/>
      <c r="R126" s="56"/>
      <c r="S126" s="56"/>
      <c r="T126" s="56"/>
      <c r="U126" s="56"/>
      <c r="V126" s="56"/>
      <c r="W126" s="56"/>
      <c r="X126" s="56"/>
      <c r="Y126" s="56"/>
      <c r="Z126" s="56"/>
      <c r="AA126" s="56"/>
      <c r="AB126" s="56"/>
      <c r="AC126" s="56"/>
      <c r="AD126" s="56"/>
      <c r="AE126" s="56"/>
      <c r="AF126" s="56"/>
      <c r="AG126" s="56"/>
      <c r="AH126" s="56"/>
      <c r="AI126" s="56"/>
      <c r="AJ126" s="56"/>
      <c r="AK126" s="56"/>
    </row>
    <row r="127" spans="1:46" s="58" customFormat="1" ht="31.5" x14ac:dyDescent="0.25">
      <c r="A127" s="15">
        <f t="shared" si="9"/>
        <v>23</v>
      </c>
      <c r="B127" s="1" t="str">
        <f>'[2]1. Detailed Budget POA'!$M$190</f>
        <v>Establishment of a new ICT Technicians building; physical infrastructure (cables, UPS, etc.);Fat client; equipment for physical security; and (v) performance management software.</v>
      </c>
      <c r="C127" s="22" t="s">
        <v>3</v>
      </c>
      <c r="D127" s="22" t="s">
        <v>0</v>
      </c>
      <c r="E127" s="17">
        <f>'1. Detailed Budget POA'!P190</f>
        <v>500000</v>
      </c>
      <c r="F127" s="17"/>
      <c r="G127" s="9">
        <f t="shared" si="8"/>
        <v>500000</v>
      </c>
      <c r="H127" s="269" t="s">
        <v>338</v>
      </c>
      <c r="I127" s="19" t="s">
        <v>37</v>
      </c>
      <c r="J127" s="102" t="s">
        <v>30</v>
      </c>
      <c r="K127" s="268" t="s">
        <v>70</v>
      </c>
      <c r="L127" s="268" t="s">
        <v>353</v>
      </c>
      <c r="M127" s="55"/>
      <c r="N127" s="56"/>
      <c r="O127" s="56"/>
      <c r="P127" s="56"/>
      <c r="Q127" s="56"/>
      <c r="R127" s="56"/>
      <c r="S127" s="56"/>
      <c r="T127" s="56"/>
      <c r="U127" s="56"/>
      <c r="V127" s="56"/>
      <c r="W127" s="56"/>
      <c r="X127" s="56"/>
      <c r="Y127" s="56"/>
      <c r="Z127" s="56"/>
      <c r="AA127" s="56"/>
      <c r="AB127" s="56"/>
      <c r="AC127" s="56"/>
      <c r="AD127" s="56"/>
      <c r="AE127" s="56"/>
      <c r="AF127" s="56"/>
      <c r="AG127" s="56"/>
      <c r="AH127" s="56"/>
      <c r="AI127" s="56"/>
      <c r="AJ127" s="56"/>
      <c r="AK127" s="56"/>
    </row>
    <row r="128" spans="1:46" s="58" customFormat="1" x14ac:dyDescent="0.25">
      <c r="A128" s="15">
        <f t="shared" si="9"/>
        <v>24</v>
      </c>
      <c r="B128" s="1" t="str">
        <f>'[2]1. Detailed Budget POA'!$M$191</f>
        <v>Generator and UPS for ICT technicians building</v>
      </c>
      <c r="C128" s="22" t="s">
        <v>3</v>
      </c>
      <c r="D128" s="22" t="s">
        <v>0</v>
      </c>
      <c r="E128" s="17">
        <f>'1. Detailed Budget POA'!P191</f>
        <v>120000</v>
      </c>
      <c r="F128" s="17"/>
      <c r="G128" s="9">
        <f t="shared" si="8"/>
        <v>120000</v>
      </c>
      <c r="H128" s="269" t="s">
        <v>338</v>
      </c>
      <c r="I128" s="19" t="s">
        <v>37</v>
      </c>
      <c r="J128" s="102" t="s">
        <v>30</v>
      </c>
      <c r="K128" s="268" t="s">
        <v>70</v>
      </c>
      <c r="L128" s="268" t="s">
        <v>353</v>
      </c>
      <c r="M128" s="55"/>
      <c r="N128" s="56"/>
      <c r="O128" s="56"/>
      <c r="P128" s="56"/>
      <c r="Q128" s="56"/>
      <c r="R128" s="56"/>
      <c r="S128" s="56"/>
      <c r="T128" s="56"/>
      <c r="U128" s="56"/>
      <c r="V128" s="56"/>
      <c r="W128" s="56"/>
      <c r="X128" s="56"/>
      <c r="Y128" s="56"/>
      <c r="Z128" s="56"/>
      <c r="AA128" s="56"/>
      <c r="AB128" s="56"/>
      <c r="AC128" s="56"/>
      <c r="AD128" s="56"/>
      <c r="AE128" s="56"/>
      <c r="AF128" s="56"/>
      <c r="AG128" s="56"/>
      <c r="AH128" s="56"/>
      <c r="AI128" s="56"/>
      <c r="AJ128" s="56"/>
      <c r="AK128" s="56"/>
    </row>
    <row r="129" spans="1:46" s="58" customFormat="1" ht="31.5" x14ac:dyDescent="0.25">
      <c r="A129" s="15">
        <f t="shared" si="9"/>
        <v>25</v>
      </c>
      <c r="B129" s="1" t="str">
        <f>'[2]1. Detailed Budget POA'!$M$192</f>
        <v>Replace PC's and office printers/scanners/switches and routers that have reached end of life or do not meet the requirement for AW or the COTS workstation requirements.</v>
      </c>
      <c r="C129" s="22" t="s">
        <v>3</v>
      </c>
      <c r="D129" s="22" t="s">
        <v>0</v>
      </c>
      <c r="E129" s="17">
        <f>'1. Detailed Budget POA'!P192</f>
        <v>236800.00000000006</v>
      </c>
      <c r="F129" s="17"/>
      <c r="G129" s="9">
        <f t="shared" si="8"/>
        <v>236800.00000000006</v>
      </c>
      <c r="H129" s="269" t="s">
        <v>338</v>
      </c>
      <c r="I129" s="19" t="s">
        <v>37</v>
      </c>
      <c r="J129" s="102" t="s">
        <v>30</v>
      </c>
      <c r="K129" s="268" t="s">
        <v>70</v>
      </c>
      <c r="L129" s="268" t="s">
        <v>353</v>
      </c>
      <c r="M129" s="55"/>
      <c r="N129" s="56"/>
      <c r="O129" s="56"/>
      <c r="P129" s="56"/>
      <c r="Q129" s="56"/>
      <c r="R129" s="56"/>
      <c r="S129" s="56"/>
      <c r="T129" s="56"/>
      <c r="U129" s="56"/>
      <c r="V129" s="56"/>
      <c r="W129" s="56"/>
      <c r="X129" s="56"/>
      <c r="Y129" s="56"/>
      <c r="Z129" s="56"/>
      <c r="AA129" s="56"/>
      <c r="AB129" s="56"/>
      <c r="AC129" s="56"/>
      <c r="AD129" s="56"/>
      <c r="AE129" s="56"/>
      <c r="AF129" s="56"/>
      <c r="AG129" s="56"/>
      <c r="AH129" s="56"/>
      <c r="AI129" s="56"/>
      <c r="AJ129" s="56"/>
      <c r="AK129" s="56"/>
    </row>
    <row r="130" spans="1:46" s="58" customFormat="1" ht="31.5" x14ac:dyDescent="0.25">
      <c r="A130" s="15">
        <f>A127+1</f>
        <v>24</v>
      </c>
      <c r="B130" s="1" t="str">
        <f>'[2]1. Detailed Budget POA'!$M$193</f>
        <v xml:space="preserve">Training of OTA ICT staff in the software and hardware they are supporting in addition to managing and monitoring their systems (including network).  </v>
      </c>
      <c r="C130" s="22" t="s">
        <v>3</v>
      </c>
      <c r="D130" s="22" t="s">
        <v>0</v>
      </c>
      <c r="E130" s="17">
        <f>'1. Detailed Budget POA'!P193</f>
        <v>120000</v>
      </c>
      <c r="F130" s="17"/>
      <c r="G130" s="9">
        <f t="shared" si="8"/>
        <v>120000</v>
      </c>
      <c r="H130" s="269" t="s">
        <v>338</v>
      </c>
      <c r="I130" s="19" t="s">
        <v>37</v>
      </c>
      <c r="J130" s="102" t="s">
        <v>30</v>
      </c>
      <c r="K130" s="268" t="s">
        <v>70</v>
      </c>
      <c r="L130" s="268" t="s">
        <v>353</v>
      </c>
      <c r="M130" s="55"/>
      <c r="N130" s="56"/>
      <c r="O130" s="56"/>
      <c r="P130" s="56"/>
      <c r="Q130" s="56"/>
      <c r="R130" s="56"/>
      <c r="S130" s="56"/>
      <c r="T130" s="56"/>
      <c r="U130" s="56"/>
      <c r="V130" s="56"/>
      <c r="W130" s="56"/>
      <c r="X130" s="56"/>
      <c r="Y130" s="56"/>
      <c r="Z130" s="56"/>
      <c r="AA130" s="56"/>
      <c r="AB130" s="56"/>
      <c r="AC130" s="56"/>
      <c r="AD130" s="56"/>
      <c r="AE130" s="56"/>
      <c r="AF130" s="56"/>
      <c r="AG130" s="56"/>
      <c r="AH130" s="56"/>
      <c r="AI130" s="56"/>
      <c r="AJ130" s="56"/>
      <c r="AK130" s="56"/>
    </row>
    <row r="131" spans="1:46" s="58" customFormat="1" ht="31.5" x14ac:dyDescent="0.25">
      <c r="A131" s="15">
        <f>A128+1</f>
        <v>25</v>
      </c>
      <c r="B131" s="1" t="str">
        <f>'[2]1. Detailed Budget POA'!$M$209</f>
        <v>Public Investment Management off-the-shelf IT management system, including project database</v>
      </c>
      <c r="C131" s="22" t="s">
        <v>3</v>
      </c>
      <c r="D131" s="22" t="s">
        <v>0</v>
      </c>
      <c r="E131" s="17">
        <f>'1. Detailed Budget POA'!P209</f>
        <v>350000</v>
      </c>
      <c r="F131" s="17"/>
      <c r="G131" s="9">
        <f t="shared" si="8"/>
        <v>350000</v>
      </c>
      <c r="H131" s="269" t="s">
        <v>340</v>
      </c>
      <c r="I131" s="19" t="s">
        <v>37</v>
      </c>
      <c r="J131" s="102" t="s">
        <v>30</v>
      </c>
      <c r="K131" s="268" t="s">
        <v>68</v>
      </c>
      <c r="L131" s="268" t="s">
        <v>315</v>
      </c>
      <c r="M131" s="55"/>
      <c r="N131" s="56"/>
      <c r="O131" s="56"/>
      <c r="P131" s="56"/>
      <c r="Q131" s="56"/>
      <c r="R131" s="56"/>
      <c r="S131" s="56"/>
      <c r="T131" s="56"/>
      <c r="U131" s="56"/>
      <c r="V131" s="56"/>
      <c r="W131" s="56"/>
      <c r="X131" s="56"/>
      <c r="Y131" s="56"/>
      <c r="Z131" s="56"/>
      <c r="AA131" s="56"/>
      <c r="AB131" s="56"/>
      <c r="AC131" s="56"/>
      <c r="AD131" s="56"/>
      <c r="AE131" s="56"/>
      <c r="AF131" s="56"/>
      <c r="AG131" s="56"/>
      <c r="AH131" s="56"/>
      <c r="AI131" s="56"/>
      <c r="AJ131" s="56"/>
      <c r="AK131" s="56"/>
    </row>
    <row r="132" spans="1:46" x14ac:dyDescent="0.25">
      <c r="A132" s="15">
        <f>A98+1</f>
        <v>41</v>
      </c>
      <c r="B132" s="1" t="str">
        <f>'2. Pluriannual Plan PEP'!A47</f>
        <v>Monitoring Tools</v>
      </c>
      <c r="C132" s="22" t="s">
        <v>3</v>
      </c>
      <c r="D132" s="22" t="s">
        <v>0</v>
      </c>
      <c r="E132" s="17">
        <f>'2. Pluriannual Plan PEP'!B47</f>
        <v>100000</v>
      </c>
      <c r="F132" s="17"/>
      <c r="G132" s="9">
        <f>E132</f>
        <v>100000</v>
      </c>
      <c r="H132" s="269" t="s">
        <v>342</v>
      </c>
      <c r="I132" s="19" t="s">
        <v>262</v>
      </c>
      <c r="J132" s="19" t="s">
        <v>28</v>
      </c>
      <c r="K132" s="268" t="s">
        <v>67</v>
      </c>
      <c r="L132" s="268" t="s">
        <v>353</v>
      </c>
      <c r="M132" s="1"/>
      <c r="AL132" s="56"/>
      <c r="AM132" s="56"/>
      <c r="AN132" s="56"/>
      <c r="AO132" s="56"/>
      <c r="AP132" s="56"/>
      <c r="AQ132" s="56"/>
      <c r="AR132" s="56"/>
      <c r="AS132" s="56"/>
      <c r="AT132" s="56"/>
    </row>
    <row r="133" spans="1:46" s="56" customFormat="1" x14ac:dyDescent="0.25">
      <c r="A133" s="15"/>
      <c r="B133" s="1"/>
      <c r="C133" s="22"/>
      <c r="D133" s="22"/>
      <c r="E133" s="17">
        <f>SUM(E103:E132)</f>
        <v>14595610</v>
      </c>
      <c r="F133" s="17"/>
      <c r="G133" s="17">
        <f>SUM(G103:G132)</f>
        <v>14595610</v>
      </c>
      <c r="H133" s="22"/>
      <c r="I133" s="19"/>
      <c r="J133" s="102"/>
      <c r="K133" s="22"/>
      <c r="L133" s="22"/>
      <c r="M133" s="55"/>
    </row>
    <row r="134" spans="1:46" s="4" customFormat="1" ht="18.75" x14ac:dyDescent="0.25">
      <c r="A134" s="392" t="s">
        <v>40</v>
      </c>
      <c r="B134" s="392"/>
      <c r="C134" s="392"/>
      <c r="D134" s="392"/>
      <c r="E134" s="392"/>
      <c r="F134" s="392"/>
      <c r="G134" s="392"/>
      <c r="H134" s="392"/>
      <c r="I134" s="392"/>
      <c r="J134" s="392"/>
      <c r="K134" s="392"/>
      <c r="L134" s="392"/>
      <c r="M134" s="392"/>
      <c r="N134" s="39"/>
      <c r="O134" s="39"/>
      <c r="P134" s="39"/>
      <c r="Q134" s="39"/>
      <c r="R134" s="39"/>
      <c r="S134" s="39"/>
      <c r="T134" s="39"/>
      <c r="U134" s="39"/>
      <c r="V134" s="39"/>
      <c r="W134" s="39"/>
      <c r="X134" s="39"/>
      <c r="Y134" s="39"/>
      <c r="Z134" s="39"/>
      <c r="AA134" s="39"/>
      <c r="AB134" s="39"/>
      <c r="AC134" s="39"/>
      <c r="AD134" s="39"/>
      <c r="AE134" s="39"/>
      <c r="AF134" s="39"/>
      <c r="AG134" s="39"/>
      <c r="AH134" s="39"/>
      <c r="AI134" s="39"/>
      <c r="AJ134" s="39"/>
      <c r="AK134" s="39"/>
    </row>
    <row r="135" spans="1:46" s="58" customFormat="1" x14ac:dyDescent="0.25">
      <c r="A135" s="15">
        <v>1</v>
      </c>
      <c r="B135" s="1" t="str">
        <f>'1. Detailed Budget POA'!Q200</f>
        <v>Seminars for stakeholders consulting  and dissemination</v>
      </c>
      <c r="C135" s="22" t="s">
        <v>3</v>
      </c>
      <c r="D135" s="22" t="s">
        <v>0</v>
      </c>
      <c r="E135" s="17">
        <f>'1. Detailed Budget POA'!T200</f>
        <v>30000</v>
      </c>
      <c r="F135" s="17"/>
      <c r="G135" s="9">
        <f t="shared" ref="G135" si="11">+E135</f>
        <v>30000</v>
      </c>
      <c r="H135" s="269" t="s">
        <v>339</v>
      </c>
      <c r="I135" s="19" t="s">
        <v>262</v>
      </c>
      <c r="J135" s="104" t="s">
        <v>30</v>
      </c>
      <c r="K135" s="268" t="s">
        <v>69</v>
      </c>
      <c r="L135" s="268" t="s">
        <v>315</v>
      </c>
      <c r="M135" s="1"/>
      <c r="N135" s="56"/>
      <c r="O135" s="56"/>
      <c r="P135" s="56"/>
      <c r="Q135" s="56"/>
      <c r="R135" s="56"/>
      <c r="S135" s="56"/>
      <c r="T135" s="56"/>
      <c r="U135" s="56"/>
      <c r="V135" s="56"/>
      <c r="W135" s="56"/>
      <c r="X135" s="56"/>
      <c r="Y135" s="56"/>
      <c r="Z135" s="56"/>
      <c r="AA135" s="56"/>
      <c r="AB135" s="56"/>
      <c r="AC135" s="56"/>
      <c r="AD135" s="56"/>
      <c r="AE135" s="56"/>
      <c r="AF135" s="56"/>
      <c r="AG135" s="56"/>
      <c r="AH135" s="56"/>
      <c r="AI135" s="56"/>
      <c r="AJ135" s="56"/>
      <c r="AK135" s="56"/>
    </row>
    <row r="136" spans="1:46" s="3" customFormat="1" x14ac:dyDescent="0.25">
      <c r="A136" s="15">
        <f>A135+1</f>
        <v>2</v>
      </c>
      <c r="B136" s="1" t="str">
        <f>'1. Detailed Budget POA'!Q209</f>
        <v>Seminars for PPP dissemination</v>
      </c>
      <c r="C136" s="22" t="s">
        <v>3</v>
      </c>
      <c r="D136" s="22" t="s">
        <v>0</v>
      </c>
      <c r="E136" s="17">
        <f>'1. Detailed Budget POA'!T209</f>
        <v>20000</v>
      </c>
      <c r="F136" s="17"/>
      <c r="G136" s="9">
        <f>+E136</f>
        <v>20000</v>
      </c>
      <c r="H136" s="269" t="s">
        <v>340</v>
      </c>
      <c r="I136" s="19" t="s">
        <v>262</v>
      </c>
      <c r="J136" s="104" t="s">
        <v>30</v>
      </c>
      <c r="K136" s="268" t="s">
        <v>68</v>
      </c>
      <c r="L136" s="268" t="s">
        <v>315</v>
      </c>
      <c r="M136" s="1"/>
      <c r="N136" s="38"/>
      <c r="O136" s="38"/>
      <c r="P136" s="38"/>
      <c r="Q136" s="38"/>
      <c r="R136" s="38"/>
      <c r="S136" s="38"/>
      <c r="T136" s="38"/>
      <c r="U136" s="38"/>
      <c r="V136" s="38"/>
      <c r="W136" s="38"/>
      <c r="X136" s="38"/>
      <c r="Y136" s="38"/>
      <c r="Z136" s="38"/>
      <c r="AA136" s="38"/>
      <c r="AB136" s="38"/>
      <c r="AC136" s="38"/>
      <c r="AD136" s="38"/>
      <c r="AE136" s="38"/>
      <c r="AF136" s="38"/>
      <c r="AG136" s="38"/>
      <c r="AH136" s="38"/>
      <c r="AI136" s="38"/>
      <c r="AJ136" s="38"/>
      <c r="AK136" s="38"/>
    </row>
    <row r="137" spans="1:46" x14ac:dyDescent="0.25">
      <c r="A137" s="15">
        <f t="shared" ref="A137" si="12">A136+1</f>
        <v>3</v>
      </c>
      <c r="B137" s="1">
        <f>'1. Detailed Budget POA'!Q202</f>
        <v>0</v>
      </c>
      <c r="C137" s="22"/>
      <c r="D137" s="22"/>
      <c r="E137" s="17"/>
      <c r="F137" s="17"/>
      <c r="G137" s="9"/>
      <c r="H137" s="22"/>
      <c r="I137" s="19"/>
      <c r="J137" s="104"/>
      <c r="K137" s="22"/>
      <c r="L137" s="22"/>
      <c r="M137" s="1"/>
    </row>
    <row r="138" spans="1:46" x14ac:dyDescent="0.25">
      <c r="A138" s="15"/>
      <c r="B138" s="1"/>
      <c r="C138" s="22"/>
      <c r="D138" s="22"/>
      <c r="E138" s="17">
        <f>SUM(E135:E137)</f>
        <v>50000</v>
      </c>
      <c r="F138" s="17"/>
      <c r="G138" s="17">
        <f>SUM(G135:G137)</f>
        <v>50000</v>
      </c>
      <c r="H138" s="22"/>
      <c r="I138" s="19"/>
      <c r="J138" s="278"/>
      <c r="K138" s="22"/>
      <c r="L138" s="22"/>
      <c r="M138" s="55"/>
    </row>
    <row r="139" spans="1:46" ht="18.75" x14ac:dyDescent="0.25">
      <c r="A139" s="392" t="s">
        <v>26</v>
      </c>
      <c r="B139" s="392"/>
      <c r="C139" s="392"/>
      <c r="D139" s="392"/>
      <c r="E139" s="392"/>
      <c r="F139" s="392"/>
      <c r="G139" s="392"/>
      <c r="H139" s="392"/>
      <c r="I139" s="392"/>
      <c r="J139" s="392"/>
      <c r="K139" s="392"/>
      <c r="L139" s="392"/>
      <c r="M139" s="392"/>
    </row>
    <row r="140" spans="1:46" ht="31.5" x14ac:dyDescent="0.25">
      <c r="A140" s="15">
        <v>1</v>
      </c>
      <c r="B140" s="1" t="str">
        <f>'1. Detailed Budget POA'!U74</f>
        <v>Upgrade tax and customs operations buildings to allow for deployment of the new technology and to provide better operating environments for the staff</v>
      </c>
      <c r="C140" s="22" t="s">
        <v>3</v>
      </c>
      <c r="D140" s="22" t="s">
        <v>0</v>
      </c>
      <c r="E140" s="17">
        <f>'1. Detailed Budget POA'!X74</f>
        <v>800000</v>
      </c>
      <c r="F140" s="17"/>
      <c r="G140" s="9">
        <f>E140</f>
        <v>800000</v>
      </c>
      <c r="H140" s="269" t="s">
        <v>326</v>
      </c>
      <c r="I140" s="19" t="s">
        <v>38</v>
      </c>
      <c r="J140" s="104" t="s">
        <v>30</v>
      </c>
      <c r="K140" s="268" t="s">
        <v>67</v>
      </c>
      <c r="L140" s="268" t="s">
        <v>353</v>
      </c>
      <c r="M140" s="55"/>
    </row>
    <row r="141" spans="1:46" ht="47.25" x14ac:dyDescent="0.25">
      <c r="A141" s="15">
        <v>2</v>
      </c>
      <c r="B141" s="1" t="str">
        <f>'1. Detailed Budget POA'!U75</f>
        <v>Construction of the 2 buildings (campus style -- Customs and Tax Adm.)
(1000 staff * 5m2 per staff *$1000 per m2 = 4M; 2200m2 for landscaping and site prep @ $50/m2 = 110K; Contingency for building at 500K)</v>
      </c>
      <c r="C141" s="22"/>
      <c r="D141" s="22"/>
      <c r="E141" s="17">
        <f>'1. Detailed Budget POA'!X75</f>
        <v>5610000</v>
      </c>
      <c r="F141" s="195">
        <f>SUM(F121:F140)</f>
        <v>0</v>
      </c>
      <c r="G141" s="9">
        <f>E141</f>
        <v>5610000</v>
      </c>
      <c r="H141" s="269" t="s">
        <v>326</v>
      </c>
      <c r="I141" s="19" t="s">
        <v>38</v>
      </c>
      <c r="J141" s="104" t="s">
        <v>30</v>
      </c>
      <c r="K141" s="268" t="s">
        <v>67</v>
      </c>
      <c r="L141" s="268" t="s">
        <v>353</v>
      </c>
      <c r="M141" s="276"/>
    </row>
    <row r="142" spans="1:46" x14ac:dyDescent="0.25">
      <c r="A142" s="273"/>
      <c r="B142" s="204"/>
      <c r="C142" s="205"/>
      <c r="D142" s="204"/>
      <c r="E142" s="279">
        <f>SUM(E140:E141)</f>
        <v>6410000</v>
      </c>
      <c r="F142" s="204"/>
      <c r="G142" s="280">
        <f>SUM(G140:G141)</f>
        <v>6410000</v>
      </c>
      <c r="H142" s="204"/>
      <c r="I142" s="205"/>
      <c r="J142" s="205"/>
      <c r="K142" s="204"/>
      <c r="L142" s="204"/>
      <c r="M142" s="204"/>
    </row>
    <row r="143" spans="1:46" x14ac:dyDescent="0.25">
      <c r="A143" s="14" t="s">
        <v>2</v>
      </c>
      <c r="B143" s="1"/>
      <c r="C143" s="22"/>
      <c r="D143" s="22"/>
      <c r="E143" s="195">
        <f>E142+E138+E133+E101+E57</f>
        <v>38089752.399999999</v>
      </c>
      <c r="F143" s="195">
        <f>F141+F138+F133+F101+F57</f>
        <v>0</v>
      </c>
      <c r="G143" s="9">
        <f>G142+G138+G133+G101+G57</f>
        <v>38089752.399999999</v>
      </c>
      <c r="H143" s="22"/>
      <c r="I143" s="281"/>
      <c r="J143" s="275"/>
      <c r="K143" s="22"/>
      <c r="L143" s="22"/>
      <c r="M143" s="276"/>
    </row>
    <row r="144" spans="1:46" x14ac:dyDescent="0.25">
      <c r="A144" s="390" t="s">
        <v>112</v>
      </c>
      <c r="B144" s="391"/>
      <c r="E144" s="18">
        <f>'1. Detailed Budget POA'!B233</f>
        <v>1910247.6000000015</v>
      </c>
      <c r="F144" s="18"/>
      <c r="G144" s="199">
        <f>E144</f>
        <v>1910247.6000000015</v>
      </c>
      <c r="I144" s="20"/>
      <c r="J144" s="20"/>
    </row>
    <row r="145" spans="1:7" x14ac:dyDescent="0.25">
      <c r="A145" s="389" t="s">
        <v>263</v>
      </c>
      <c r="B145" s="367"/>
      <c r="E145" s="198">
        <f>E143+E144</f>
        <v>40000000</v>
      </c>
      <c r="G145" s="200">
        <f>G143+G144</f>
        <v>40000000</v>
      </c>
    </row>
    <row r="146" spans="1:7" x14ac:dyDescent="0.25">
      <c r="A146" s="196"/>
      <c r="B146" s="197"/>
    </row>
  </sheetData>
  <mergeCells count="10">
    <mergeCell ref="A145:B145"/>
    <mergeCell ref="A144:B144"/>
    <mergeCell ref="A139:M139"/>
    <mergeCell ref="A1:M1"/>
    <mergeCell ref="A2:M2"/>
    <mergeCell ref="K3:L3"/>
    <mergeCell ref="A5:M5"/>
    <mergeCell ref="A102:M102"/>
    <mergeCell ref="A58:M58"/>
    <mergeCell ref="A134:M134"/>
  </mergeCells>
  <pageMargins left="0.25" right="0.25" top="0.75" bottom="0.75" header="0.3" footer="0.3"/>
  <pageSetup scale="5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workbookViewId="0">
      <selection activeCell="H25" sqref="H25"/>
    </sheetView>
  </sheetViews>
  <sheetFormatPr defaultColWidth="9" defaultRowHeight="15.75" x14ac:dyDescent="0.25"/>
  <cols>
    <col min="1" max="1" width="37" customWidth="1"/>
    <col min="2" max="2" width="28.125" bestFit="1" customWidth="1"/>
    <col min="3" max="3" width="24.625" customWidth="1"/>
    <col min="5" max="5" width="14" bestFit="1" customWidth="1"/>
    <col min="6" max="6" width="13.875" bestFit="1" customWidth="1"/>
    <col min="257" max="257" width="37" customWidth="1"/>
    <col min="258" max="258" width="30.625" customWidth="1"/>
    <col min="259" max="259" width="29.125" customWidth="1"/>
    <col min="513" max="513" width="37" customWidth="1"/>
    <col min="514" max="514" width="30.625" customWidth="1"/>
    <col min="515" max="515" width="29.125" customWidth="1"/>
    <col min="769" max="769" width="37" customWidth="1"/>
    <col min="770" max="770" width="30.625" customWidth="1"/>
    <col min="771" max="771" width="29.125" customWidth="1"/>
    <col min="1025" max="1025" width="37" customWidth="1"/>
    <col min="1026" max="1026" width="30.625" customWidth="1"/>
    <col min="1027" max="1027" width="29.125" customWidth="1"/>
    <col min="1281" max="1281" width="37" customWidth="1"/>
    <col min="1282" max="1282" width="30.625" customWidth="1"/>
    <col min="1283" max="1283" width="29.125" customWidth="1"/>
    <col min="1537" max="1537" width="37" customWidth="1"/>
    <col min="1538" max="1538" width="30.625" customWidth="1"/>
    <col min="1539" max="1539" width="29.125" customWidth="1"/>
    <col min="1793" max="1793" width="37" customWidth="1"/>
    <col min="1794" max="1794" width="30.625" customWidth="1"/>
    <col min="1795" max="1795" width="29.125" customWidth="1"/>
    <col min="2049" max="2049" width="37" customWidth="1"/>
    <col min="2050" max="2050" width="30.625" customWidth="1"/>
    <col min="2051" max="2051" width="29.125" customWidth="1"/>
    <col min="2305" max="2305" width="37" customWidth="1"/>
    <col min="2306" max="2306" width="30.625" customWidth="1"/>
    <col min="2307" max="2307" width="29.125" customWidth="1"/>
    <col min="2561" max="2561" width="37" customWidth="1"/>
    <col min="2562" max="2562" width="30.625" customWidth="1"/>
    <col min="2563" max="2563" width="29.125" customWidth="1"/>
    <col min="2817" max="2817" width="37" customWidth="1"/>
    <col min="2818" max="2818" width="30.625" customWidth="1"/>
    <col min="2819" max="2819" width="29.125" customWidth="1"/>
    <col min="3073" max="3073" width="37" customWidth="1"/>
    <col min="3074" max="3074" width="30.625" customWidth="1"/>
    <col min="3075" max="3075" width="29.125" customWidth="1"/>
    <col min="3329" max="3329" width="37" customWidth="1"/>
    <col min="3330" max="3330" width="30.625" customWidth="1"/>
    <col min="3331" max="3331" width="29.125" customWidth="1"/>
    <col min="3585" max="3585" width="37" customWidth="1"/>
    <col min="3586" max="3586" width="30.625" customWidth="1"/>
    <col min="3587" max="3587" width="29.125" customWidth="1"/>
    <col min="3841" max="3841" width="37" customWidth="1"/>
    <col min="3842" max="3842" width="30.625" customWidth="1"/>
    <col min="3843" max="3843" width="29.125" customWidth="1"/>
    <col min="4097" max="4097" width="37" customWidth="1"/>
    <col min="4098" max="4098" width="30.625" customWidth="1"/>
    <col min="4099" max="4099" width="29.125" customWidth="1"/>
    <col min="4353" max="4353" width="37" customWidth="1"/>
    <col min="4354" max="4354" width="30.625" customWidth="1"/>
    <col min="4355" max="4355" width="29.125" customWidth="1"/>
    <col min="4609" max="4609" width="37" customWidth="1"/>
    <col min="4610" max="4610" width="30.625" customWidth="1"/>
    <col min="4611" max="4611" width="29.125" customWidth="1"/>
    <col min="4865" max="4865" width="37" customWidth="1"/>
    <col min="4866" max="4866" width="30.625" customWidth="1"/>
    <col min="4867" max="4867" width="29.125" customWidth="1"/>
    <col min="5121" max="5121" width="37" customWidth="1"/>
    <col min="5122" max="5122" width="30.625" customWidth="1"/>
    <col min="5123" max="5123" width="29.125" customWidth="1"/>
    <col min="5377" max="5377" width="37" customWidth="1"/>
    <col min="5378" max="5378" width="30.625" customWidth="1"/>
    <col min="5379" max="5379" width="29.125" customWidth="1"/>
    <col min="5633" max="5633" width="37" customWidth="1"/>
    <col min="5634" max="5634" width="30.625" customWidth="1"/>
    <col min="5635" max="5635" width="29.125" customWidth="1"/>
    <col min="5889" max="5889" width="37" customWidth="1"/>
    <col min="5890" max="5890" width="30.625" customWidth="1"/>
    <col min="5891" max="5891" width="29.125" customWidth="1"/>
    <col min="6145" max="6145" width="37" customWidth="1"/>
    <col min="6146" max="6146" width="30.625" customWidth="1"/>
    <col min="6147" max="6147" width="29.125" customWidth="1"/>
    <col min="6401" max="6401" width="37" customWidth="1"/>
    <col min="6402" max="6402" width="30.625" customWidth="1"/>
    <col min="6403" max="6403" width="29.125" customWidth="1"/>
    <col min="6657" max="6657" width="37" customWidth="1"/>
    <col min="6658" max="6658" width="30.625" customWidth="1"/>
    <col min="6659" max="6659" width="29.125" customWidth="1"/>
    <col min="6913" max="6913" width="37" customWidth="1"/>
    <col min="6914" max="6914" width="30.625" customWidth="1"/>
    <col min="6915" max="6915" width="29.125" customWidth="1"/>
    <col min="7169" max="7169" width="37" customWidth="1"/>
    <col min="7170" max="7170" width="30.625" customWidth="1"/>
    <col min="7171" max="7171" width="29.125" customWidth="1"/>
    <col min="7425" max="7425" width="37" customWidth="1"/>
    <col min="7426" max="7426" width="30.625" customWidth="1"/>
    <col min="7427" max="7427" width="29.125" customWidth="1"/>
    <col min="7681" max="7681" width="37" customWidth="1"/>
    <col min="7682" max="7682" width="30.625" customWidth="1"/>
    <col min="7683" max="7683" width="29.125" customWidth="1"/>
    <col min="7937" max="7937" width="37" customWidth="1"/>
    <col min="7938" max="7938" width="30.625" customWidth="1"/>
    <col min="7939" max="7939" width="29.125" customWidth="1"/>
    <col min="8193" max="8193" width="37" customWidth="1"/>
    <col min="8194" max="8194" width="30.625" customWidth="1"/>
    <col min="8195" max="8195" width="29.125" customWidth="1"/>
    <col min="8449" max="8449" width="37" customWidth="1"/>
    <col min="8450" max="8450" width="30.625" customWidth="1"/>
    <col min="8451" max="8451" width="29.125" customWidth="1"/>
    <col min="8705" max="8705" width="37" customWidth="1"/>
    <col min="8706" max="8706" width="30.625" customWidth="1"/>
    <col min="8707" max="8707" width="29.125" customWidth="1"/>
    <col min="8961" max="8961" width="37" customWidth="1"/>
    <col min="8962" max="8962" width="30.625" customWidth="1"/>
    <col min="8963" max="8963" width="29.125" customWidth="1"/>
    <col min="9217" max="9217" width="37" customWidth="1"/>
    <col min="9218" max="9218" width="30.625" customWidth="1"/>
    <col min="9219" max="9219" width="29.125" customWidth="1"/>
    <col min="9473" max="9473" width="37" customWidth="1"/>
    <col min="9474" max="9474" width="30.625" customWidth="1"/>
    <col min="9475" max="9475" width="29.125" customWidth="1"/>
    <col min="9729" max="9729" width="37" customWidth="1"/>
    <col min="9730" max="9730" width="30.625" customWidth="1"/>
    <col min="9731" max="9731" width="29.125" customWidth="1"/>
    <col min="9985" max="9985" width="37" customWidth="1"/>
    <col min="9986" max="9986" width="30.625" customWidth="1"/>
    <col min="9987" max="9987" width="29.125" customWidth="1"/>
    <col min="10241" max="10241" width="37" customWidth="1"/>
    <col min="10242" max="10242" width="30.625" customWidth="1"/>
    <col min="10243" max="10243" width="29.125" customWidth="1"/>
    <col min="10497" max="10497" width="37" customWidth="1"/>
    <col min="10498" max="10498" width="30.625" customWidth="1"/>
    <col min="10499" max="10499" width="29.125" customWidth="1"/>
    <col min="10753" max="10753" width="37" customWidth="1"/>
    <col min="10754" max="10754" width="30.625" customWidth="1"/>
    <col min="10755" max="10755" width="29.125" customWidth="1"/>
    <col min="11009" max="11009" width="37" customWidth="1"/>
    <col min="11010" max="11010" width="30.625" customWidth="1"/>
    <col min="11011" max="11011" width="29.125" customWidth="1"/>
    <col min="11265" max="11265" width="37" customWidth="1"/>
    <col min="11266" max="11266" width="30.625" customWidth="1"/>
    <col min="11267" max="11267" width="29.125" customWidth="1"/>
    <col min="11521" max="11521" width="37" customWidth="1"/>
    <col min="11522" max="11522" width="30.625" customWidth="1"/>
    <col min="11523" max="11523" width="29.125" customWidth="1"/>
    <col min="11777" max="11777" width="37" customWidth="1"/>
    <col min="11778" max="11778" width="30.625" customWidth="1"/>
    <col min="11779" max="11779" width="29.125" customWidth="1"/>
    <col min="12033" max="12033" width="37" customWidth="1"/>
    <col min="12034" max="12034" width="30.625" customWidth="1"/>
    <col min="12035" max="12035" width="29.125" customWidth="1"/>
    <col min="12289" max="12289" width="37" customWidth="1"/>
    <col min="12290" max="12290" width="30.625" customWidth="1"/>
    <col min="12291" max="12291" width="29.125" customWidth="1"/>
    <col min="12545" max="12545" width="37" customWidth="1"/>
    <col min="12546" max="12546" width="30.625" customWidth="1"/>
    <col min="12547" max="12547" width="29.125" customWidth="1"/>
    <col min="12801" max="12801" width="37" customWidth="1"/>
    <col min="12802" max="12802" width="30.625" customWidth="1"/>
    <col min="12803" max="12803" width="29.125" customWidth="1"/>
    <col min="13057" max="13057" width="37" customWidth="1"/>
    <col min="13058" max="13058" width="30.625" customWidth="1"/>
    <col min="13059" max="13059" width="29.125" customWidth="1"/>
    <col min="13313" max="13313" width="37" customWidth="1"/>
    <col min="13314" max="13314" width="30.625" customWidth="1"/>
    <col min="13315" max="13315" width="29.125" customWidth="1"/>
    <col min="13569" max="13569" width="37" customWidth="1"/>
    <col min="13570" max="13570" width="30.625" customWidth="1"/>
    <col min="13571" max="13571" width="29.125" customWidth="1"/>
    <col min="13825" max="13825" width="37" customWidth="1"/>
    <col min="13826" max="13826" width="30.625" customWidth="1"/>
    <col min="13827" max="13827" width="29.125" customWidth="1"/>
    <col min="14081" max="14081" width="37" customWidth="1"/>
    <col min="14082" max="14082" width="30.625" customWidth="1"/>
    <col min="14083" max="14083" width="29.125" customWidth="1"/>
    <col min="14337" max="14337" width="37" customWidth="1"/>
    <col min="14338" max="14338" width="30.625" customWidth="1"/>
    <col min="14339" max="14339" width="29.125" customWidth="1"/>
    <col min="14593" max="14593" width="37" customWidth="1"/>
    <col min="14594" max="14594" width="30.625" customWidth="1"/>
    <col min="14595" max="14595" width="29.125" customWidth="1"/>
    <col min="14849" max="14849" width="37" customWidth="1"/>
    <col min="14850" max="14850" width="30.625" customWidth="1"/>
    <col min="14851" max="14851" width="29.125" customWidth="1"/>
    <col min="15105" max="15105" width="37" customWidth="1"/>
    <col min="15106" max="15106" width="30.625" customWidth="1"/>
    <col min="15107" max="15107" width="29.125" customWidth="1"/>
    <col min="15361" max="15361" width="37" customWidth="1"/>
    <col min="15362" max="15362" width="30.625" customWidth="1"/>
    <col min="15363" max="15363" width="29.125" customWidth="1"/>
    <col min="15617" max="15617" width="37" customWidth="1"/>
    <col min="15618" max="15618" width="30.625" customWidth="1"/>
    <col min="15619" max="15619" width="29.125" customWidth="1"/>
    <col min="15873" max="15873" width="37" customWidth="1"/>
    <col min="15874" max="15874" width="30.625" customWidth="1"/>
    <col min="15875" max="15875" width="29.125" customWidth="1"/>
    <col min="16129" max="16129" width="37" customWidth="1"/>
    <col min="16130" max="16130" width="30.625" customWidth="1"/>
    <col min="16131" max="16131" width="29.125" customWidth="1"/>
  </cols>
  <sheetData>
    <row r="1" spans="1:5" ht="33.75" customHeight="1" thickBot="1" x14ac:dyDescent="0.3">
      <c r="A1" s="400" t="str">
        <f>'1. Detailed Budget POA'!C1</f>
        <v>Fiscal Strengthening to Support Economic Growth (FISEG) Program
SU-L1050</v>
      </c>
      <c r="B1" s="400"/>
      <c r="C1" s="400"/>
    </row>
    <row r="2" spans="1:5" x14ac:dyDescent="0.25">
      <c r="A2" s="401" t="s">
        <v>254</v>
      </c>
      <c r="B2" s="402"/>
      <c r="C2" s="403"/>
    </row>
    <row r="3" spans="1:5" x14ac:dyDescent="0.25">
      <c r="A3" s="41" t="s">
        <v>255</v>
      </c>
      <c r="B3" s="42" t="s">
        <v>256</v>
      </c>
      <c r="C3" s="43" t="s">
        <v>257</v>
      </c>
    </row>
    <row r="4" spans="1:5" ht="16.5" thickBot="1" x14ac:dyDescent="0.3">
      <c r="A4" s="44" t="s">
        <v>258</v>
      </c>
      <c r="B4" s="49">
        <v>42736</v>
      </c>
      <c r="C4" s="6">
        <f>B4+(365*5)</f>
        <v>44561</v>
      </c>
    </row>
    <row r="5" spans="1:5" x14ac:dyDescent="0.25">
      <c r="A5" s="404"/>
      <c r="B5" s="404"/>
      <c r="C5" s="404"/>
    </row>
    <row r="6" spans="1:5" x14ac:dyDescent="0.25">
      <c r="A6" s="405" t="s">
        <v>259</v>
      </c>
      <c r="B6" s="406"/>
      <c r="C6" s="407"/>
    </row>
    <row r="7" spans="1:5" ht="16.5" thickBot="1" x14ac:dyDescent="0.3">
      <c r="A7" s="5"/>
      <c r="B7" s="408"/>
      <c r="C7" s="409"/>
    </row>
    <row r="8" spans="1:5" ht="16.5" thickBot="1" x14ac:dyDescent="0.3">
      <c r="A8" s="404"/>
      <c r="B8" s="404"/>
      <c r="C8" s="404"/>
    </row>
    <row r="9" spans="1:5" x14ac:dyDescent="0.25">
      <c r="A9" s="397" t="s">
        <v>260</v>
      </c>
      <c r="B9" s="398"/>
      <c r="C9" s="399"/>
    </row>
    <row r="10" spans="1:5" ht="35.25" customHeight="1" x14ac:dyDescent="0.25">
      <c r="A10" s="41" t="s">
        <v>253</v>
      </c>
      <c r="B10" s="42" t="s">
        <v>251</v>
      </c>
      <c r="C10" s="43" t="s">
        <v>2</v>
      </c>
    </row>
    <row r="11" spans="1:5" x14ac:dyDescent="0.25">
      <c r="A11" s="45" t="s">
        <v>249</v>
      </c>
      <c r="B11" s="13">
        <f>'1. Detailed Budget POA'!G234</f>
        <v>12196484</v>
      </c>
      <c r="C11" s="13">
        <f>B11</f>
        <v>12196484</v>
      </c>
    </row>
    <row r="12" spans="1:5" x14ac:dyDescent="0.25">
      <c r="A12" s="45" t="s">
        <v>247</v>
      </c>
      <c r="B12" s="13">
        <f>'1. Detailed Budget POA'!L234</f>
        <v>4837658.3999999994</v>
      </c>
      <c r="C12" s="13">
        <f t="shared" ref="C12:C15" si="0">B12</f>
        <v>4837658.3999999994</v>
      </c>
    </row>
    <row r="13" spans="1:5" x14ac:dyDescent="0.25">
      <c r="A13" s="45" t="s">
        <v>45</v>
      </c>
      <c r="B13" s="13">
        <f>'1. Detailed Budget POA'!P234</f>
        <v>14595610</v>
      </c>
      <c r="C13" s="13">
        <f t="shared" si="0"/>
        <v>14595610</v>
      </c>
    </row>
    <row r="14" spans="1:5" x14ac:dyDescent="0.25">
      <c r="A14" s="7" t="s">
        <v>248</v>
      </c>
      <c r="B14" s="13">
        <f>'1. Detailed Budget POA'!T234</f>
        <v>50000</v>
      </c>
      <c r="C14" s="13">
        <f t="shared" si="0"/>
        <v>50000</v>
      </c>
      <c r="E14" s="8"/>
    </row>
    <row r="15" spans="1:5" x14ac:dyDescent="0.25">
      <c r="A15" s="193" t="s">
        <v>46</v>
      </c>
      <c r="B15" s="106">
        <f>'1. Detailed Budget POA'!X234</f>
        <v>6410000</v>
      </c>
      <c r="C15" s="13">
        <f t="shared" si="0"/>
        <v>6410000</v>
      </c>
      <c r="E15" s="8"/>
    </row>
    <row r="16" spans="1:5" ht="16.5" thickBot="1" x14ac:dyDescent="0.3">
      <c r="A16" s="10" t="s">
        <v>2</v>
      </c>
      <c r="B16" s="11">
        <f>SUM(B11:B15)</f>
        <v>38089752.399999999</v>
      </c>
      <c r="C16" s="12">
        <f>B16</f>
        <v>38089752.399999999</v>
      </c>
    </row>
    <row r="17" spans="1:3" ht="16.5" thickBot="1" x14ac:dyDescent="0.3"/>
    <row r="18" spans="1:3" x14ac:dyDescent="0.25">
      <c r="A18" s="397" t="s">
        <v>252</v>
      </c>
      <c r="B18" s="398"/>
      <c r="C18" s="399"/>
    </row>
    <row r="19" spans="1:3" x14ac:dyDescent="0.25">
      <c r="A19" s="46" t="s">
        <v>250</v>
      </c>
      <c r="B19" s="42" t="s">
        <v>251</v>
      </c>
      <c r="C19" s="47" t="s">
        <v>2</v>
      </c>
    </row>
    <row r="20" spans="1:3" x14ac:dyDescent="0.25">
      <c r="A20" s="36" t="str">
        <f>'5. Budget by Components'!A4</f>
        <v>Component I. Strengthen the revenue administration</v>
      </c>
      <c r="B20" s="13">
        <f>'2. Pluriannual Plan PEP'!B4</f>
        <v>22579118.800000001</v>
      </c>
      <c r="C20" s="13">
        <f>B20</f>
        <v>22579118.800000001</v>
      </c>
    </row>
    <row r="21" spans="1:3" x14ac:dyDescent="0.25">
      <c r="A21" s="36" t="str">
        <f>'5. Budget by Components'!A5</f>
        <v>Component II. Strengthen the PFM</v>
      </c>
      <c r="B21" s="13">
        <f>'2. Pluriannual Plan PEP'!B24</f>
        <v>10250201.6</v>
      </c>
      <c r="C21" s="13">
        <f t="shared" ref="C21:C32" si="1">B21</f>
        <v>10250201.6</v>
      </c>
    </row>
    <row r="22" spans="1:3" x14ac:dyDescent="0.25">
      <c r="A22" s="36" t="str">
        <f>'5. Budget by Components'!A6</f>
        <v>Component III. Public Investment Strengthening</v>
      </c>
      <c r="B22" s="13">
        <f>'2. Pluriannual Plan PEP'!B40</f>
        <v>3168268</v>
      </c>
      <c r="C22" s="13">
        <f t="shared" si="1"/>
        <v>3168268</v>
      </c>
    </row>
    <row r="23" spans="1:3" s="48" customFormat="1" x14ac:dyDescent="0.25">
      <c r="A23" s="36" t="str">
        <f>'5. Budget by Components'!A8</f>
        <v>Technical Coordinator</v>
      </c>
      <c r="B23" s="13">
        <f>'2. Pluriannual Plan PEP'!B46</f>
        <v>244800</v>
      </c>
      <c r="C23" s="13">
        <f t="shared" si="1"/>
        <v>244800</v>
      </c>
    </row>
    <row r="24" spans="1:3" s="203" customFormat="1" x14ac:dyDescent="0.25">
      <c r="A24" s="202" t="str">
        <f>'1. Detailed Budget POA'!A222</f>
        <v>Monitoring Tools</v>
      </c>
      <c r="B24" s="201">
        <f>'1. Detailed Budget POA'!B222</f>
        <v>100000</v>
      </c>
      <c r="C24" s="201">
        <f t="shared" si="1"/>
        <v>100000</v>
      </c>
    </row>
    <row r="25" spans="1:3" s="48" customFormat="1" x14ac:dyDescent="0.25">
      <c r="A25" s="36" t="str">
        <f>'5. Budget by Components'!A10</f>
        <v>Financial Specialists</v>
      </c>
      <c r="B25" s="13">
        <f>'2. Pluriannual Plan PEP'!B48</f>
        <v>221760</v>
      </c>
      <c r="C25" s="13">
        <f t="shared" si="1"/>
        <v>221760</v>
      </c>
    </row>
    <row r="26" spans="1:3" s="203" customFormat="1" x14ac:dyDescent="0.25">
      <c r="A26" s="202" t="str">
        <f>'1. Detailed Budget POA'!A224</f>
        <v>Procurement Specialists</v>
      </c>
      <c r="B26" s="201">
        <f>'1. Detailed Budget POA'!G224</f>
        <v>221760</v>
      </c>
      <c r="C26" s="201">
        <f t="shared" si="1"/>
        <v>221760</v>
      </c>
    </row>
    <row r="27" spans="1:3" x14ac:dyDescent="0.25">
      <c r="A27" s="36" t="str">
        <f>'5. Budget by Components'!A12</f>
        <v>Monitoring Specialists</v>
      </c>
      <c r="B27" s="13">
        <f>'2. Pluriannual Plan PEP'!B50</f>
        <v>221760</v>
      </c>
      <c r="C27" s="13">
        <f t="shared" si="1"/>
        <v>221760</v>
      </c>
    </row>
    <row r="28" spans="1:3" x14ac:dyDescent="0.25">
      <c r="A28" s="36" t="str">
        <f>'5. Budget by Components'!A13</f>
        <v>Evaluation</v>
      </c>
      <c r="B28" s="13">
        <f>'2. Pluriannual Plan PEP'!B51</f>
        <v>170000</v>
      </c>
      <c r="C28" s="13">
        <f t="shared" si="1"/>
        <v>170000</v>
      </c>
    </row>
    <row r="29" spans="1:3" x14ac:dyDescent="0.25">
      <c r="A29" s="105" t="s">
        <v>57</v>
      </c>
      <c r="B29" s="106">
        <f>'2. Pluriannual Plan PEP'!B52</f>
        <v>220008</v>
      </c>
      <c r="C29" s="13">
        <f t="shared" si="1"/>
        <v>220008</v>
      </c>
    </row>
    <row r="30" spans="1:3" x14ac:dyDescent="0.25">
      <c r="A30" s="105" t="s">
        <v>246</v>
      </c>
      <c r="B30" s="106">
        <f>'2. Pluriannual Plan PEP'!B53</f>
        <v>692076</v>
      </c>
      <c r="C30" s="13">
        <f t="shared" si="1"/>
        <v>692076</v>
      </c>
    </row>
    <row r="31" spans="1:3" x14ac:dyDescent="0.25">
      <c r="A31" s="105" t="s">
        <v>112</v>
      </c>
      <c r="B31" s="106">
        <f>'2. Pluriannual Plan PEP'!B54</f>
        <v>1910247.6000000015</v>
      </c>
      <c r="C31" s="13">
        <f t="shared" si="1"/>
        <v>1910247.6000000015</v>
      </c>
    </row>
    <row r="32" spans="1:3" ht="16.5" thickBot="1" x14ac:dyDescent="0.3">
      <c r="A32" s="10" t="s">
        <v>2</v>
      </c>
      <c r="B32" s="11">
        <f>SUM(B20:B31)</f>
        <v>40000000</v>
      </c>
      <c r="C32" s="11">
        <f t="shared" si="1"/>
        <v>40000000</v>
      </c>
    </row>
    <row r="35" spans="2:2" x14ac:dyDescent="0.25">
      <c r="B35" s="8"/>
    </row>
  </sheetData>
  <mergeCells count="8">
    <mergeCell ref="A9:C9"/>
    <mergeCell ref="A18:C18"/>
    <mergeCell ref="A1:C1"/>
    <mergeCell ref="A2:C2"/>
    <mergeCell ref="A5:C5"/>
    <mergeCell ref="A6:C6"/>
    <mergeCell ref="B7:C7"/>
    <mergeCell ref="A8:C8"/>
  </mergeCells>
  <pageMargins left="0.7" right="0.7" top="0.75" bottom="0.75" header="0.3" footer="0.3"/>
  <pageSetup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zoomScale="115" zoomScaleNormal="115" workbookViewId="0">
      <selection activeCell="B3" sqref="B3:C16"/>
    </sheetView>
  </sheetViews>
  <sheetFormatPr defaultColWidth="9" defaultRowHeight="15" x14ac:dyDescent="0.25"/>
  <cols>
    <col min="1" max="1" width="49.125" style="23" customWidth="1"/>
    <col min="2" max="2" width="9.625" style="23" customWidth="1"/>
    <col min="3" max="3" width="8.375" style="23" bestFit="1" customWidth="1"/>
    <col min="4" max="5" width="9" style="23"/>
    <col min="6" max="6" width="9.125" style="23" bestFit="1" customWidth="1"/>
    <col min="7" max="16384" width="9" style="23"/>
  </cols>
  <sheetData>
    <row r="1" spans="1:8" ht="15.75" thickBot="1" x14ac:dyDescent="0.3">
      <c r="A1" s="410" t="s">
        <v>208</v>
      </c>
      <c r="B1" s="411"/>
      <c r="C1" s="411"/>
    </row>
    <row r="2" spans="1:8" ht="15.75" thickBot="1" x14ac:dyDescent="0.3">
      <c r="A2" s="24" t="s">
        <v>308</v>
      </c>
      <c r="B2" s="25" t="s">
        <v>204</v>
      </c>
      <c r="C2" s="25" t="s">
        <v>5</v>
      </c>
    </row>
    <row r="3" spans="1:8" ht="15.6" customHeight="1" thickBot="1" x14ac:dyDescent="0.3">
      <c r="A3" s="26" t="s">
        <v>205</v>
      </c>
      <c r="B3" s="27">
        <f>SUM(B4:B6)</f>
        <v>35997588.399999999</v>
      </c>
      <c r="C3" s="28">
        <f t="shared" ref="C3:C17" si="0">B3/$B$17*100</f>
        <v>89.993970999999988</v>
      </c>
      <c r="H3" s="35"/>
    </row>
    <row r="4" spans="1:8" ht="15.75" thickBot="1" x14ac:dyDescent="0.3">
      <c r="A4" s="29" t="str">
        <f>'2. Pluriannual Plan PEP'!A3</f>
        <v>Component I. Strengthen the revenue administration</v>
      </c>
      <c r="B4" s="30">
        <f>'2. Pluriannual Plan PEP'!B4</f>
        <v>22579118.800000001</v>
      </c>
      <c r="C4" s="28">
        <f t="shared" si="0"/>
        <v>56.447797000000001</v>
      </c>
    </row>
    <row r="5" spans="1:8" ht="15.75" thickBot="1" x14ac:dyDescent="0.3">
      <c r="A5" s="29" t="str">
        <f>'2. Pluriannual Plan PEP'!A23</f>
        <v>Component II. Strengthen the PFM</v>
      </c>
      <c r="B5" s="30">
        <f>'2. Pluriannual Plan PEP'!B24</f>
        <v>10250201.6</v>
      </c>
      <c r="C5" s="28">
        <f t="shared" si="0"/>
        <v>25.625503999999999</v>
      </c>
    </row>
    <row r="6" spans="1:8" ht="15.75" thickBot="1" x14ac:dyDescent="0.3">
      <c r="A6" s="29" t="str">
        <f>'2. Pluriannual Plan PEP'!A39</f>
        <v>Component III. Public Investment Strengthening</v>
      </c>
      <c r="B6" s="30">
        <f>'2. Pluriannual Plan PEP'!B40</f>
        <v>3168268</v>
      </c>
      <c r="C6" s="28">
        <f t="shared" si="0"/>
        <v>7.9206700000000003</v>
      </c>
    </row>
    <row r="7" spans="1:8" ht="15.95" customHeight="1" thickBot="1" x14ac:dyDescent="0.3">
      <c r="A7" s="26" t="s">
        <v>206</v>
      </c>
      <c r="B7" s="27">
        <f>SUM(B8:B15)</f>
        <v>2092164</v>
      </c>
      <c r="C7" s="28">
        <f t="shared" si="0"/>
        <v>5.23041</v>
      </c>
    </row>
    <row r="8" spans="1:8" ht="15.75" thickBot="1" x14ac:dyDescent="0.3">
      <c r="A8" s="29" t="str">
        <f>'2. Pluriannual Plan PEP'!A46</f>
        <v>Technical Coordinator</v>
      </c>
      <c r="B8" s="30">
        <f>'2. Pluriannual Plan PEP'!B46</f>
        <v>244800</v>
      </c>
      <c r="C8" s="28">
        <f t="shared" si="0"/>
        <v>0.61199999999999999</v>
      </c>
    </row>
    <row r="9" spans="1:8" ht="15.75" thickBot="1" x14ac:dyDescent="0.3">
      <c r="A9" s="29" t="str">
        <f>'2. Pluriannual Plan PEP'!A47</f>
        <v>Monitoring Tools</v>
      </c>
      <c r="B9" s="30">
        <f>'2. Pluriannual Plan PEP'!B47</f>
        <v>100000</v>
      </c>
      <c r="C9" s="28">
        <f t="shared" si="0"/>
        <v>0.25</v>
      </c>
    </row>
    <row r="10" spans="1:8" ht="17.850000000000001" customHeight="1" thickBot="1" x14ac:dyDescent="0.3">
      <c r="A10" s="29" t="str">
        <f>'2. Pluriannual Plan PEP'!A48</f>
        <v>Financial Specialists</v>
      </c>
      <c r="B10" s="30">
        <f>'2. Pluriannual Plan PEP'!B48</f>
        <v>221760</v>
      </c>
      <c r="C10" s="28">
        <f t="shared" si="0"/>
        <v>0.5544</v>
      </c>
    </row>
    <row r="11" spans="1:8" ht="17.850000000000001" customHeight="1" thickBot="1" x14ac:dyDescent="0.3">
      <c r="A11" s="29" t="str">
        <f>'2. Pluriannual Plan PEP'!A49</f>
        <v>Procurement Specialists</v>
      </c>
      <c r="B11" s="30">
        <f>'1. Detailed Budget POA'!G224</f>
        <v>221760</v>
      </c>
      <c r="C11" s="28">
        <f t="shared" si="0"/>
        <v>0.5544</v>
      </c>
    </row>
    <row r="12" spans="1:8" ht="17.850000000000001" customHeight="1" thickBot="1" x14ac:dyDescent="0.3">
      <c r="A12" s="29" t="str">
        <f>'2. Pluriannual Plan PEP'!A50</f>
        <v>Monitoring Specialists</v>
      </c>
      <c r="B12" s="30">
        <f>'2. Pluriannual Plan PEP'!B50</f>
        <v>221760</v>
      </c>
      <c r="C12" s="28">
        <f t="shared" si="0"/>
        <v>0.5544</v>
      </c>
    </row>
    <row r="13" spans="1:8" ht="14.1" customHeight="1" thickBot="1" x14ac:dyDescent="0.3">
      <c r="A13" s="29" t="str">
        <f>'2. Pluriannual Plan PEP'!A51</f>
        <v>Evaluation</v>
      </c>
      <c r="B13" s="30">
        <f>'2. Pluriannual Plan PEP'!B51</f>
        <v>170000</v>
      </c>
      <c r="C13" s="28">
        <f t="shared" si="0"/>
        <v>0.42500000000000004</v>
      </c>
    </row>
    <row r="14" spans="1:8" ht="14.1" customHeight="1" thickBot="1" x14ac:dyDescent="0.3">
      <c r="A14" s="29" t="str">
        <f>'2. Pluriannual Plan PEP'!A52</f>
        <v>Audit and Evaluation</v>
      </c>
      <c r="B14" s="30">
        <f>'2. Pluriannual Plan PEP'!B52</f>
        <v>220008</v>
      </c>
      <c r="C14" s="28">
        <f t="shared" si="0"/>
        <v>0.55002000000000006</v>
      </c>
    </row>
    <row r="15" spans="1:8" ht="15.75" thickBot="1" x14ac:dyDescent="0.3">
      <c r="A15" s="29" t="str">
        <f>'2. Pluriannual Plan PEP'!A53</f>
        <v>International Consultancies to support the execution, including TI</v>
      </c>
      <c r="B15" s="30">
        <f>'2. Pluriannual Plan PEP'!B53</f>
        <v>692076</v>
      </c>
      <c r="C15" s="28">
        <f t="shared" si="0"/>
        <v>1.7301899999999999</v>
      </c>
    </row>
    <row r="16" spans="1:8" ht="14.1" customHeight="1" thickBot="1" x14ac:dyDescent="0.3">
      <c r="A16" s="155" t="str">
        <f>'2. Pluriannual Plan PEP'!A54</f>
        <v>Contingency</v>
      </c>
      <c r="B16" s="27">
        <f>'2. Pluriannual Plan PEP'!B54</f>
        <v>1910247.6000000015</v>
      </c>
      <c r="C16" s="28">
        <f t="shared" si="0"/>
        <v>4.7756190000000043</v>
      </c>
    </row>
    <row r="17" spans="1:9" ht="15.75" thickBot="1" x14ac:dyDescent="0.3">
      <c r="A17" s="31" t="s">
        <v>2</v>
      </c>
      <c r="B17" s="97">
        <f>B3+B7+B16</f>
        <v>40000000</v>
      </c>
      <c r="C17" s="32">
        <f t="shared" si="0"/>
        <v>100</v>
      </c>
    </row>
    <row r="18" spans="1:9" ht="23.1" customHeight="1" x14ac:dyDescent="0.25">
      <c r="A18" s="412"/>
      <c r="B18" s="412"/>
      <c r="C18" s="412"/>
    </row>
    <row r="20" spans="1:9" ht="16.5" thickBot="1" x14ac:dyDescent="0.3">
      <c r="B20" s="413" t="s">
        <v>303</v>
      </c>
      <c r="C20" s="414"/>
      <c r="D20" s="414"/>
      <c r="E20" s="414"/>
      <c r="F20" s="414"/>
      <c r="G20" s="415"/>
      <c r="H20" s="415"/>
      <c r="I20" s="415"/>
    </row>
    <row r="21" spans="1:9" ht="15.75" thickBot="1" x14ac:dyDescent="0.3">
      <c r="B21" s="62" t="s">
        <v>207</v>
      </c>
      <c r="C21" s="63" t="s">
        <v>67</v>
      </c>
      <c r="D21" s="63" t="s">
        <v>68</v>
      </c>
      <c r="E21" s="63" t="s">
        <v>69</v>
      </c>
      <c r="F21" s="63" t="s">
        <v>70</v>
      </c>
      <c r="G21" s="63" t="s">
        <v>71</v>
      </c>
      <c r="H21" s="64" t="s">
        <v>2</v>
      </c>
      <c r="I21" s="65" t="s">
        <v>5</v>
      </c>
    </row>
    <row r="22" spans="1:9" ht="15.75" thickBot="1" x14ac:dyDescent="0.3">
      <c r="B22" s="59" t="s">
        <v>204</v>
      </c>
      <c r="C22" s="33">
        <f>$B$17*C23/100</f>
        <v>2978280.12</v>
      </c>
      <c r="D22" s="33">
        <f>$B$17*D23/100</f>
        <v>7069786.8799999999</v>
      </c>
      <c r="E22" s="33">
        <f>$B$17*E23/100</f>
        <v>10003010.360000003</v>
      </c>
      <c r="F22" s="33">
        <f>$B$17*F23/100</f>
        <v>13417573.000000002</v>
      </c>
      <c r="G22" s="33">
        <f>$B$17*G23/100</f>
        <v>6531349.6400000025</v>
      </c>
      <c r="H22" s="67">
        <f>SUM(C22:G22)</f>
        <v>40000000.000000007</v>
      </c>
      <c r="I22" s="66">
        <f>H23</f>
        <v>100.00000000000001</v>
      </c>
    </row>
    <row r="23" spans="1:9" ht="15.75" thickBot="1" x14ac:dyDescent="0.3">
      <c r="B23" s="60" t="s">
        <v>5</v>
      </c>
      <c r="C23" s="103">
        <f>'2. Pluriannual Plan PEP'!C2</f>
        <v>7.4457002999999995</v>
      </c>
      <c r="D23" s="103">
        <f>'2. Pluriannual Plan PEP'!E2</f>
        <v>17.674467199999999</v>
      </c>
      <c r="E23" s="103">
        <f>'2. Pluriannual Plan PEP'!G2</f>
        <v>25.007525900000005</v>
      </c>
      <c r="F23" s="103">
        <f>'2. Pluriannual Plan PEP'!I2</f>
        <v>33.543932500000004</v>
      </c>
      <c r="G23" s="103">
        <f>'2. Pluriannual Plan PEP'!K2</f>
        <v>16.328374100000005</v>
      </c>
      <c r="H23" s="103">
        <f>SUM(C23:G23)</f>
        <v>100.00000000000001</v>
      </c>
      <c r="I23" s="61"/>
    </row>
    <row r="25" spans="1:9" x14ac:dyDescent="0.25">
      <c r="B25" s="34"/>
      <c r="D25" s="35">
        <f>C23+D23</f>
        <v>25.120167499999997</v>
      </c>
      <c r="E25" s="35">
        <f>C23+D23+E23</f>
        <v>50.127693399999998</v>
      </c>
    </row>
  </sheetData>
  <mergeCells count="3">
    <mergeCell ref="A1:C1"/>
    <mergeCell ref="A18:C18"/>
    <mergeCell ref="B20:I20"/>
  </mergeCells>
  <pageMargins left="0.7" right="0.7" top="0.75" bottom="0.75" header="0.3" footer="0.3"/>
  <pageSetup orientation="portrait" horizontalDpi="4294967294"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workbookViewId="0">
      <selection activeCell="G35" sqref="G35"/>
    </sheetView>
  </sheetViews>
  <sheetFormatPr defaultColWidth="9" defaultRowHeight="15.75" x14ac:dyDescent="0.25"/>
  <cols>
    <col min="1" max="1" width="28.375" customWidth="1"/>
    <col min="2" max="2" width="15.125" customWidth="1"/>
    <col min="3" max="3" width="14.5" customWidth="1"/>
    <col min="4" max="4" width="12.125" customWidth="1"/>
  </cols>
  <sheetData>
    <row r="1" spans="1:5" ht="31.5" x14ac:dyDescent="0.25">
      <c r="A1" s="108" t="s">
        <v>99</v>
      </c>
      <c r="B1" s="109" t="s">
        <v>100</v>
      </c>
      <c r="C1" s="109" t="s">
        <v>101</v>
      </c>
      <c r="D1" s="109" t="s">
        <v>98</v>
      </c>
    </row>
    <row r="2" spans="1:5" x14ac:dyDescent="0.25">
      <c r="A2" t="s">
        <v>75</v>
      </c>
      <c r="B2" s="88">
        <f>454*22</f>
        <v>9988</v>
      </c>
      <c r="C2" s="88">
        <f>625*22</f>
        <v>13750</v>
      </c>
      <c r="D2" s="88">
        <f>C2*1.2</f>
        <v>16500</v>
      </c>
    </row>
    <row r="3" spans="1:5" x14ac:dyDescent="0.25">
      <c r="A3" t="s">
        <v>76</v>
      </c>
      <c r="B3" s="88">
        <f>140*22</f>
        <v>3080</v>
      </c>
      <c r="C3" s="88"/>
      <c r="D3" s="88">
        <f>C3*1.25</f>
        <v>0</v>
      </c>
    </row>
    <row r="4" spans="1:5" x14ac:dyDescent="0.25">
      <c r="A4" t="s">
        <v>168</v>
      </c>
      <c r="B4" s="88">
        <f>600*22</f>
        <v>13200</v>
      </c>
      <c r="C4" s="88">
        <f>771*22</f>
        <v>16962</v>
      </c>
      <c r="D4" s="88">
        <f>C4*1.2</f>
        <v>20354.399999999998</v>
      </c>
      <c r="E4">
        <f>E2+E3</f>
        <v>0</v>
      </c>
    </row>
    <row r="5" spans="1:5" x14ac:dyDescent="0.25">
      <c r="A5" t="s">
        <v>73</v>
      </c>
      <c r="B5" s="88">
        <f>454*22</f>
        <v>9988</v>
      </c>
      <c r="C5" s="88">
        <f>625*22</f>
        <v>13750</v>
      </c>
      <c r="D5" s="88">
        <f>C5*1.2</f>
        <v>16500</v>
      </c>
    </row>
    <row r="6" spans="1:5" x14ac:dyDescent="0.25">
      <c r="A6" t="s">
        <v>74</v>
      </c>
      <c r="B6" s="88">
        <v>3500</v>
      </c>
      <c r="C6" s="88"/>
      <c r="D6" s="88"/>
    </row>
    <row r="7" spans="1:5" x14ac:dyDescent="0.25">
      <c r="A7" s="93" t="s">
        <v>77</v>
      </c>
      <c r="B7" s="88">
        <v>1500</v>
      </c>
      <c r="C7" s="88"/>
    </row>
    <row r="8" spans="1:5" x14ac:dyDescent="0.25">
      <c r="A8" t="s">
        <v>169</v>
      </c>
      <c r="B8" s="88">
        <f>B3*1.25</f>
        <v>3850</v>
      </c>
      <c r="C8" s="88"/>
      <c r="D8" s="88">
        <f>B8*1.2</f>
        <v>4620</v>
      </c>
    </row>
    <row r="9" spans="1:5" x14ac:dyDescent="0.25">
      <c r="A9" t="s">
        <v>78</v>
      </c>
      <c r="B9" s="88">
        <v>400</v>
      </c>
      <c r="C9" s="88"/>
    </row>
    <row r="10" spans="1:5" x14ac:dyDescent="0.25">
      <c r="B10" s="88"/>
      <c r="C10" s="88"/>
    </row>
    <row r="11" spans="1:5" x14ac:dyDescent="0.25">
      <c r="A11" s="89" t="s">
        <v>79</v>
      </c>
      <c r="B11" s="90">
        <v>50000</v>
      </c>
      <c r="C11" s="90"/>
      <c r="D11" s="90"/>
      <c r="E11" s="48"/>
    </row>
    <row r="12" spans="1:5" x14ac:dyDescent="0.25">
      <c r="A12" s="89" t="s">
        <v>80</v>
      </c>
      <c r="B12" s="90">
        <v>65500</v>
      </c>
      <c r="C12" s="90" t="s">
        <v>106</v>
      </c>
      <c r="D12" s="90"/>
      <c r="E12" s="48"/>
    </row>
    <row r="13" spans="1:5" x14ac:dyDescent="0.25">
      <c r="A13" s="89" t="s">
        <v>81</v>
      </c>
      <c r="B13" s="90">
        <v>300000</v>
      </c>
      <c r="C13" s="90"/>
      <c r="D13" s="91"/>
      <c r="E13" s="48"/>
    </row>
    <row r="14" spans="1:5" x14ac:dyDescent="0.25">
      <c r="A14" s="89" t="s">
        <v>107</v>
      </c>
      <c r="B14" s="90">
        <v>30000</v>
      </c>
      <c r="C14" s="90"/>
      <c r="D14" s="91"/>
      <c r="E14" s="48"/>
    </row>
    <row r="15" spans="1:5" x14ac:dyDescent="0.25">
      <c r="A15" s="89" t="s">
        <v>82</v>
      </c>
      <c r="B15" s="90">
        <v>100000</v>
      </c>
      <c r="C15" s="90"/>
      <c r="D15" s="90"/>
      <c r="E15" s="48"/>
    </row>
    <row r="16" spans="1:5" x14ac:dyDescent="0.25">
      <c r="A16" s="89" t="s">
        <v>83</v>
      </c>
      <c r="B16" s="90">
        <v>60000</v>
      </c>
      <c r="C16" s="90"/>
      <c r="D16" s="90"/>
      <c r="E16" s="48"/>
    </row>
    <row r="17" spans="1:5" x14ac:dyDescent="0.25">
      <c r="A17" s="89" t="s">
        <v>84</v>
      </c>
      <c r="B17" s="90">
        <v>15000</v>
      </c>
      <c r="C17" s="90" t="s">
        <v>97</v>
      </c>
      <c r="D17" s="90"/>
      <c r="E17" s="48"/>
    </row>
    <row r="18" spans="1:5" x14ac:dyDescent="0.25">
      <c r="A18" s="89" t="s">
        <v>85</v>
      </c>
      <c r="B18" s="90">
        <v>1500</v>
      </c>
      <c r="C18" s="90"/>
      <c r="D18" s="90"/>
      <c r="E18" s="48"/>
    </row>
    <row r="19" spans="1:5" x14ac:dyDescent="0.25">
      <c r="A19" s="89" t="s">
        <v>86</v>
      </c>
      <c r="B19" s="90">
        <v>13000</v>
      </c>
      <c r="C19" s="90"/>
      <c r="D19" s="91"/>
      <c r="E19" s="48"/>
    </row>
    <row r="20" spans="1:5" x14ac:dyDescent="0.25">
      <c r="A20" s="89" t="s">
        <v>87</v>
      </c>
      <c r="B20" s="90">
        <v>200000</v>
      </c>
      <c r="C20" s="90"/>
      <c r="D20" s="91"/>
      <c r="E20" s="48"/>
    </row>
    <row r="21" spans="1:5" x14ac:dyDescent="0.25">
      <c r="A21" s="89" t="s">
        <v>88</v>
      </c>
      <c r="B21" s="90">
        <v>200000</v>
      </c>
      <c r="C21" s="90"/>
      <c r="D21" s="90"/>
      <c r="E21" s="48"/>
    </row>
    <row r="22" spans="1:5" x14ac:dyDescent="0.25">
      <c r="A22" s="89" t="s">
        <v>102</v>
      </c>
      <c r="B22" s="90">
        <v>300000</v>
      </c>
      <c r="C22" s="90"/>
      <c r="D22" s="90"/>
      <c r="E22" s="48"/>
    </row>
    <row r="23" spans="1:5" ht="30" x14ac:dyDescent="0.25">
      <c r="A23" s="89" t="s">
        <v>89</v>
      </c>
      <c r="B23" s="90">
        <v>800000</v>
      </c>
      <c r="C23" s="90"/>
      <c r="D23" s="90"/>
      <c r="E23" s="48"/>
    </row>
    <row r="24" spans="1:5" x14ac:dyDescent="0.25">
      <c r="A24" s="89" t="s">
        <v>90</v>
      </c>
      <c r="B24" s="90">
        <v>1000</v>
      </c>
      <c r="C24" s="90"/>
      <c r="D24" s="90"/>
      <c r="E24" s="48"/>
    </row>
    <row r="25" spans="1:5" ht="45" x14ac:dyDescent="0.25">
      <c r="A25" s="89" t="s">
        <v>103</v>
      </c>
      <c r="B25" s="90">
        <v>520000</v>
      </c>
      <c r="C25" s="90"/>
      <c r="D25" s="90"/>
      <c r="E25" s="48"/>
    </row>
    <row r="26" spans="1:5" ht="18.95" customHeight="1" x14ac:dyDescent="0.25">
      <c r="A26" s="89" t="s">
        <v>91</v>
      </c>
      <c r="B26" s="90">
        <v>150000</v>
      </c>
      <c r="C26" s="90"/>
      <c r="D26" s="90"/>
      <c r="E26" s="48"/>
    </row>
    <row r="27" spans="1:5" x14ac:dyDescent="0.25">
      <c r="A27" s="92" t="s">
        <v>104</v>
      </c>
      <c r="B27" s="91">
        <v>2000</v>
      </c>
      <c r="C27" s="48"/>
      <c r="D27" s="48"/>
      <c r="E27" s="48"/>
    </row>
    <row r="28" spans="1:5" x14ac:dyDescent="0.25">
      <c r="A28" s="92" t="s">
        <v>92</v>
      </c>
      <c r="B28" s="91">
        <v>18000</v>
      </c>
      <c r="C28" s="48"/>
      <c r="D28" s="48"/>
      <c r="E28" s="48"/>
    </row>
    <row r="29" spans="1:5" x14ac:dyDescent="0.25">
      <c r="A29" s="92" t="s">
        <v>32</v>
      </c>
      <c r="B29" s="91">
        <v>8000</v>
      </c>
      <c r="C29" s="48"/>
      <c r="D29" s="48"/>
      <c r="E29" s="48"/>
    </row>
    <row r="30" spans="1:5" x14ac:dyDescent="0.25">
      <c r="A30" s="92" t="s">
        <v>93</v>
      </c>
      <c r="B30" s="91">
        <v>7</v>
      </c>
      <c r="C30" s="48"/>
      <c r="D30" s="48"/>
      <c r="E30" s="48"/>
    </row>
    <row r="31" spans="1:5" x14ac:dyDescent="0.25">
      <c r="A31" s="92" t="s">
        <v>94</v>
      </c>
      <c r="B31" s="91">
        <v>2000</v>
      </c>
      <c r="C31" s="48"/>
      <c r="D31" s="48"/>
      <c r="E31" s="48"/>
    </row>
    <row r="32" spans="1:5" x14ac:dyDescent="0.25">
      <c r="A32" s="92" t="s">
        <v>95</v>
      </c>
      <c r="B32" s="91">
        <v>40</v>
      </c>
    </row>
    <row r="33" spans="1:2" x14ac:dyDescent="0.25">
      <c r="A33" s="92" t="s">
        <v>105</v>
      </c>
      <c r="B33" s="91">
        <v>20</v>
      </c>
    </row>
    <row r="34" spans="1:2" x14ac:dyDescent="0.25">
      <c r="A34" s="92" t="s">
        <v>96</v>
      </c>
      <c r="B34" s="91">
        <v>10000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zoomScaleNormal="100" workbookViewId="0">
      <selection activeCell="G19" sqref="G19"/>
    </sheetView>
  </sheetViews>
  <sheetFormatPr defaultRowHeight="15.75" x14ac:dyDescent="0.25"/>
  <cols>
    <col min="1" max="1" width="67.5" customWidth="1"/>
    <col min="2" max="2" width="8.875" customWidth="1"/>
  </cols>
  <sheetData>
    <row r="1" spans="1:3" ht="16.5" thickBot="1" x14ac:dyDescent="0.3">
      <c r="A1" s="416" t="s">
        <v>33</v>
      </c>
      <c r="B1" s="417"/>
      <c r="C1" s="417"/>
    </row>
    <row r="2" spans="1:3" ht="16.5" thickBot="1" x14ac:dyDescent="0.3">
      <c r="A2" s="24" t="s">
        <v>41</v>
      </c>
      <c r="B2" s="25" t="s">
        <v>2</v>
      </c>
      <c r="C2" s="25" t="s">
        <v>5</v>
      </c>
    </row>
    <row r="3" spans="1:3" ht="16.5" thickBot="1" x14ac:dyDescent="0.3">
      <c r="A3" s="96" t="s">
        <v>34</v>
      </c>
      <c r="B3" s="97" t="e">
        <f>B4+B23+B29</f>
        <v>#REF!</v>
      </c>
      <c r="C3" s="32" t="e">
        <f>C4+C23+C29</f>
        <v>#REF!</v>
      </c>
    </row>
    <row r="4" spans="1:3" ht="16.5" thickBot="1" x14ac:dyDescent="0.3">
      <c r="A4" s="98" t="s">
        <v>31</v>
      </c>
      <c r="B4" s="99" t="e">
        <f>B5+B11+B16</f>
        <v>#REF!</v>
      </c>
      <c r="C4" s="100" t="e">
        <f>B4/$B$3*100</f>
        <v>#REF!</v>
      </c>
    </row>
    <row r="5" spans="1:3" ht="16.5" thickBot="1" x14ac:dyDescent="0.3">
      <c r="A5" s="96" t="str">
        <f>'1. Detailed Budget POA'!C89</f>
        <v>Component II. Strengthen the PFM</v>
      </c>
      <c r="B5" s="97">
        <f>SUM(B6:B10)</f>
        <v>3740280</v>
      </c>
      <c r="C5" s="32" t="e">
        <f>B5/$B$3*100</f>
        <v>#REF!</v>
      </c>
    </row>
    <row r="6" spans="1:3" ht="16.5" thickBot="1" x14ac:dyDescent="0.3">
      <c r="A6" s="94" t="str">
        <f>'1. Detailed Budget POA'!A200</f>
        <v>2.13 PFM Legal Framework reviewed and updated</v>
      </c>
      <c r="B6" s="30">
        <f>'1. Detailed Budget POA'!B200</f>
        <v>228000</v>
      </c>
      <c r="C6" s="28"/>
    </row>
    <row r="7" spans="1:3" ht="24.75" thickBot="1" x14ac:dyDescent="0.3">
      <c r="A7" s="94" t="str">
        <f>'1. Detailed Budget POA'!A98</f>
        <v xml:space="preserve">2.1  New Organizational Structure of the Ministry of Finance (MOF) developed and implemented
</v>
      </c>
      <c r="B7" s="30">
        <f>'1. Detailed Budget POA'!B98</f>
        <v>597000</v>
      </c>
      <c r="C7" s="28"/>
    </row>
    <row r="8" spans="1:3" ht="36.75" thickBot="1" x14ac:dyDescent="0.3">
      <c r="A8" s="94" t="str">
        <f>'1. Detailed Budget POA'!A109</f>
        <v xml:space="preserve">2.3 Budget Planning business model reviewed and improved
</v>
      </c>
      <c r="B8" s="30">
        <f>'1. Detailed Budget POA'!B109</f>
        <v>1026000</v>
      </c>
      <c r="C8" s="28"/>
    </row>
    <row r="9" spans="1:3" ht="48.75" thickBot="1" x14ac:dyDescent="0.3">
      <c r="A9" s="94" t="str">
        <f>'1. Detailed Budget POA'!A121</f>
        <v xml:space="preserve">2.4 Treasury Operations developed and implemented
</v>
      </c>
      <c r="B9" s="30">
        <f>'1. Detailed Budget POA'!B121</f>
        <v>1137520</v>
      </c>
      <c r="C9" s="28"/>
    </row>
    <row r="10" spans="1:3" ht="24.75" thickBot="1" x14ac:dyDescent="0.3">
      <c r="A10" s="94" t="str">
        <f>'1. Detailed Budget POA'!A134</f>
        <v xml:space="preserve">2.5 Debt Management operations and system reviewed and strengthened
</v>
      </c>
      <c r="B10" s="30">
        <f>'1. Detailed Budget POA'!B134</f>
        <v>751760</v>
      </c>
      <c r="C10" s="28"/>
    </row>
    <row r="11" spans="1:3" ht="16.5" thickBot="1" x14ac:dyDescent="0.3">
      <c r="A11" s="96" t="e">
        <f>'1. Detailed Budget POA'!#REF!</f>
        <v>#REF!</v>
      </c>
      <c r="B11" s="97" t="e">
        <f>SUM(B12:B15)</f>
        <v>#REF!</v>
      </c>
      <c r="C11" s="32" t="e">
        <f>B11/$B$3*100</f>
        <v>#REF!</v>
      </c>
    </row>
    <row r="12" spans="1:3" ht="27.95" customHeight="1" thickBot="1" x14ac:dyDescent="0.3">
      <c r="A12" s="94" t="e">
        <f>'1. Detailed Budget POA'!#REF!</f>
        <v>#REF!</v>
      </c>
      <c r="B12" s="30" t="e">
        <f>'1. Detailed Budget POA'!#REF!</f>
        <v>#REF!</v>
      </c>
      <c r="C12" s="28"/>
    </row>
    <row r="13" spans="1:3" ht="16.5" thickBot="1" x14ac:dyDescent="0.3">
      <c r="A13" s="94" t="e">
        <f>'1. Detailed Budget POA'!#REF!</f>
        <v>#REF!</v>
      </c>
      <c r="B13" s="30" t="e">
        <f>'1. Detailed Budget POA'!#REF!</f>
        <v>#REF!</v>
      </c>
      <c r="C13" s="28"/>
    </row>
    <row r="14" spans="1:3" ht="16.5" thickBot="1" x14ac:dyDescent="0.3">
      <c r="A14" s="94" t="e">
        <f>'1. Detailed Budget POA'!#REF!</f>
        <v>#REF!</v>
      </c>
      <c r="B14" s="30" t="e">
        <f>'1. Detailed Budget POA'!#REF!</f>
        <v>#REF!</v>
      </c>
      <c r="C14" s="28"/>
    </row>
    <row r="15" spans="1:3" ht="16.5" thickBot="1" x14ac:dyDescent="0.3">
      <c r="A15" s="94" t="e">
        <f>'1. Detailed Budget POA'!#REF!</f>
        <v>#REF!</v>
      </c>
      <c r="B15" s="30" t="e">
        <f>'1. Detailed Budget POA'!#REF!</f>
        <v>#REF!</v>
      </c>
      <c r="C15" s="28"/>
    </row>
    <row r="16" spans="1:3" ht="16.5" thickBot="1" x14ac:dyDescent="0.3">
      <c r="A16" s="96" t="e">
        <f>'1. Detailed Budget POA'!#REF!</f>
        <v>#REF!</v>
      </c>
      <c r="B16" s="97" t="e">
        <f>B17+B20</f>
        <v>#REF!</v>
      </c>
      <c r="C16" s="32" t="e">
        <f>B16/$B$3*100</f>
        <v>#REF!</v>
      </c>
    </row>
    <row r="17" spans="1:3" ht="16.5" thickBot="1" x14ac:dyDescent="0.3">
      <c r="A17" s="95" t="e">
        <f>'1. Detailed Budget POA'!#REF!</f>
        <v>#REF!</v>
      </c>
      <c r="B17" s="30" t="e">
        <f>SUM(B18:B19)</f>
        <v>#REF!</v>
      </c>
      <c r="C17" s="28"/>
    </row>
    <row r="18" spans="1:3" ht="16.5" thickBot="1" x14ac:dyDescent="0.3">
      <c r="A18" s="94" t="e">
        <f>'1. Detailed Budget POA'!#REF!</f>
        <v>#REF!</v>
      </c>
      <c r="B18" s="30" t="e">
        <f>'1. Detailed Budget POA'!#REF!</f>
        <v>#REF!</v>
      </c>
      <c r="C18" s="28"/>
    </row>
    <row r="19" spans="1:3" ht="16.5" thickBot="1" x14ac:dyDescent="0.3">
      <c r="A19" s="94" t="e">
        <f>'1. Detailed Budget POA'!#REF!</f>
        <v>#REF!</v>
      </c>
      <c r="B19" s="30" t="e">
        <f>'1. Detailed Budget POA'!#REF!</f>
        <v>#REF!</v>
      </c>
      <c r="C19" s="28"/>
    </row>
    <row r="20" spans="1:3" ht="16.5" thickBot="1" x14ac:dyDescent="0.3">
      <c r="A20" s="95" t="e">
        <f>'1. Detailed Budget POA'!#REF!</f>
        <v>#REF!</v>
      </c>
      <c r="B20" s="30" t="e">
        <f>SUM(B21:B22)</f>
        <v>#REF!</v>
      </c>
      <c r="C20" s="28"/>
    </row>
    <row r="21" spans="1:3" ht="16.5" thickBot="1" x14ac:dyDescent="0.3">
      <c r="A21" s="94" t="e">
        <f>'1. Detailed Budget POA'!#REF!</f>
        <v>#REF!</v>
      </c>
      <c r="B21" s="30" t="e">
        <f>'1. Detailed Budget POA'!#REF!</f>
        <v>#REF!</v>
      </c>
      <c r="C21" s="28"/>
    </row>
    <row r="22" spans="1:3" ht="16.5" thickBot="1" x14ac:dyDescent="0.3">
      <c r="A22" s="94" t="e">
        <f>'1. Detailed Budget POA'!#REF!</f>
        <v>#REF!</v>
      </c>
      <c r="B22" s="30" t="e">
        <f>'1. Detailed Budget POA'!#REF!</f>
        <v>#REF!</v>
      </c>
      <c r="C22" s="28"/>
    </row>
    <row r="23" spans="1:3" ht="16.5" thickBot="1" x14ac:dyDescent="0.3">
      <c r="A23" s="98" t="s">
        <v>24</v>
      </c>
      <c r="B23" s="99" t="e">
        <f>SUM(B24:B28)</f>
        <v>#REF!</v>
      </c>
      <c r="C23" s="100" t="e">
        <f>B23/$B$3*100</f>
        <v>#REF!</v>
      </c>
    </row>
    <row r="24" spans="1:3" ht="16.5" thickBot="1" x14ac:dyDescent="0.3">
      <c r="A24" s="29" t="s">
        <v>25</v>
      </c>
      <c r="B24" s="30" t="e">
        <f>'1. Detailed Budget POA'!#REF!</f>
        <v>#REF!</v>
      </c>
      <c r="C24" s="28"/>
    </row>
    <row r="25" spans="1:3" ht="16.5" thickBot="1" x14ac:dyDescent="0.3">
      <c r="A25" s="29" t="s">
        <v>22</v>
      </c>
      <c r="B25" s="30" t="e">
        <f>'1. Detailed Budget POA'!#REF!+'1. Detailed Budget POA'!#REF!</f>
        <v>#REF!</v>
      </c>
      <c r="C25" s="28"/>
    </row>
    <row r="26" spans="1:3" ht="16.5" thickBot="1" x14ac:dyDescent="0.3">
      <c r="A26" s="29" t="s">
        <v>21</v>
      </c>
      <c r="B26" s="30" t="e">
        <f>'1. Detailed Budget POA'!#REF!</f>
        <v>#REF!</v>
      </c>
      <c r="C26" s="28"/>
    </row>
    <row r="27" spans="1:3" ht="16.5" thickBot="1" x14ac:dyDescent="0.3">
      <c r="A27" s="29" t="s">
        <v>23</v>
      </c>
      <c r="B27" s="30" t="e">
        <f>'1. Detailed Budget POA'!#REF!</f>
        <v>#REF!</v>
      </c>
      <c r="C27" s="28"/>
    </row>
    <row r="28" spans="1:3" ht="16.5" thickBot="1" x14ac:dyDescent="0.3">
      <c r="A28" s="29" t="s">
        <v>36</v>
      </c>
      <c r="B28" s="30" t="e">
        <f>'1. Detailed Budget POA'!#REF!+'1. Detailed Budget POA'!#REF!</f>
        <v>#REF!</v>
      </c>
      <c r="C28" s="28"/>
    </row>
    <row r="29" spans="1:3" ht="16.5" thickBot="1" x14ac:dyDescent="0.3">
      <c r="A29" s="98" t="s">
        <v>35</v>
      </c>
      <c r="B29" s="101" t="e">
        <f>30000000-B4-B23</f>
        <v>#REF!</v>
      </c>
      <c r="C29" s="100" t="e">
        <f>B29/B3*100</f>
        <v>#REF!</v>
      </c>
    </row>
  </sheetData>
  <mergeCells count="1">
    <mergeCell ref="A1:C1"/>
  </mergeCells>
  <pageMargins left="0.7" right="0.7" top="0.75" bottom="0.75" header="0.3" footer="0.3"/>
  <pageSetup orientation="portrait"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FormUrls xmlns="http://schemas.microsoft.com/sharepoint/v3/contenttype/forms/url">
  <Display>_catalogs/masterpage/ECMForms/OperationsCT/View.aspx</Display>
  <Edit>_catalogs/masterpage/ECMForms/OperationsCT/Edit.aspx</Edit>
</FormUrl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p:properties xmlns:p="http://schemas.microsoft.com/office/2006/metadata/properties" xmlns:xsi="http://www.w3.org/2001/XMLSchema-instance" xmlns:pc="http://schemas.microsoft.com/office/infopath/2007/PartnerControls">
  <documentManagement>
    <Division_x0020_or_x0020_Unit xmlns="cdc7663a-08f0-4737-9e8c-148ce897a09c">IFD/FMM</Division_x0020_or_x0020_Unit>
    <Other_x0020_Author xmlns="cdc7663a-08f0-4737-9e8c-148ce897a09c">Gerardo Reyes Tagle</Other_x0020_Author>
    <_dlc_DocId xmlns="cdc7663a-08f0-4737-9e8c-148ce897a09c">EZSHARE-947446866-43</_dlc_DocId>
    <Document_x0020_Author xmlns="cdc7663a-08f0-4737-9e8c-148ce897a09c">Roman Sanchez, Susana</Document_x0020_Author>
    <TaxCatchAll xmlns="cdc7663a-08f0-4737-9e8c-148ce897a09c">
      <Value>30</Value>
      <Value>24</Value>
      <Value>2</Value>
      <Value>29</Value>
      <Value>22</Value>
    </TaxCatchAll>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Suriname</TermName>
          <TermId xmlns="http://schemas.microsoft.com/office/infopath/2007/PartnerControls">78f391d2-6a9c-4a90-96e5-b3c0fdf8e7da</TermId>
        </TermInfo>
      </Terms>
    </ic46d7e087fd4a108fb86518ca413cc6>
    <Operation_x0020_Type xmlns="cdc7663a-08f0-4737-9e8c-148ce897a09c">Loan Operation</Operation_x0020_Type>
    <Fiscal_x0020_Year_x0020_IDB xmlns="cdc7663a-08f0-4737-9e8c-148ce897a09c">2018</Fiscal_x0020_Year_x0020_IDB>
    <b26cdb1da78c4bb4b1c1bac2f6ac5911 xmlns="cdc7663a-08f0-4737-9e8c-148ce897a09c">
      <Terms xmlns="http://schemas.microsoft.com/office/infopath/2007/PartnerControls"/>
    </b26cdb1da78c4bb4b1c1bac2f6ac5911>
    <Project_x0020_Number xmlns="cdc7663a-08f0-4737-9e8c-148ce897a09c">SU-L1050</Project_x0020_Number>
    <Approval_x0020_Number xmlns="cdc7663a-08f0-4737-9e8c-148ce897a09c">4112/OC-SU;</Approval_x0020_Number>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Monitoring and Reporting</TermName>
          <TermId xmlns="http://schemas.microsoft.com/office/infopath/2007/PartnerControls">df3c2aa1-d63e-41aa-b1f5-bb15dee691ca</TermId>
        </TermInfo>
      </Terms>
    </e46fe2894295491da65140ffd2369f49>
    <Access_x0020_to_x0020_Information_x00a0_Policy xmlns="cdc7663a-08f0-4737-9e8c-148ce897a09c">Public</Access_x0020_to_x0020_Information_x00a0_Policy>
    <Identifier xmlns="cdc7663a-08f0-4737-9e8c-148ce897a09c">TECFILE</Identifier>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ORC</TermName>
          <TermId xmlns="http://schemas.microsoft.com/office/infopath/2007/PartnerControls">c028a4b2-ad8b-4cf4-9cac-a2ae6a778e23</TermId>
        </TermInfo>
      </Terms>
    </g511464f9e53401d84b16fa9b379a574>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REFORM / MODERNIZATION OF THE STATE</TermName>
          <TermId xmlns="http://schemas.microsoft.com/office/infopath/2007/PartnerControls">c8fda4a7-691a-4c65-b227-9825197b5cd2</TermId>
        </TermInfo>
      </Terms>
    </nddeef1749674d76abdbe4b239a70bc6>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FISCAL POLICY FOR SUSTAINABILITY AND GROWTH</TermName>
          <TermId xmlns="http://schemas.microsoft.com/office/infopath/2007/PartnerControls">6e15b5e0-ae82-4b06-920a-eef6dd27cc8b</TermId>
        </TermInfo>
      </Terms>
    </b2ec7cfb18674cb8803df6b262e8b107>
    <_dlc_DocIdUrl xmlns="cdc7663a-08f0-4737-9e8c-148ce897a09c">
      <Url>https://idbg.sharepoint.com/teams/EZ-SU-LON/SU-L1050/_layouts/15/DocIdRedir.aspx?ID=EZSHARE-947446866-43</Url>
      <Description>EZSHARE-947446866-43</Description>
    </_dlc_DocIdUrl>
    <Document_x0020_Language_x0020_IDB xmlns="cdc7663a-08f0-4737-9e8c-148ce897a09c">English</Document_x0020_Language_x0020_IDB>
    <SISCOR_x0020_Number xmlns="cdc7663a-08f0-4737-9e8c-148ce897a09c" xsi:nil="true"/>
    <IDBDocs_x0020_Number xmlns="cdc7663a-08f0-4737-9e8c-148ce897a09c" xsi:nil="true"/>
    <Migration_x0020_Info xmlns="cdc7663a-08f0-4737-9e8c-148ce897a09c" xsi:nil="true"/>
    <Phase xmlns="cdc7663a-08f0-4737-9e8c-148ce897a09c">ACTIVE</Phase>
    <Business_x0020_Area xmlns="cdc7663a-08f0-4737-9e8c-148ce897a09c">Life Cycle</Business_x0020_Area>
    <Key_x0020_Document xmlns="cdc7663a-08f0-4737-9e8c-148ce897a09c">false</Key_x0020_Document>
    <Project_x0020_Document_x0020_Type xmlns="cdc7663a-08f0-4737-9e8c-148ce897a09c" xsi:nil="true"/>
    <Package_x0020_Code xmlns="cdc7663a-08f0-4737-9e8c-148ce897a09c" xsi:nil="true"/>
    <Record_x0020_Number xmlns="cdc7663a-08f0-4737-9e8c-148ce897a09c">R0000147250</Record_x0020_Number>
    <Related_x0020_SisCor_x0020_Number xmlns="cdc7663a-08f0-4737-9e8c-148ce897a09c" xsi:nil="true"/>
    <Disclosure_x0020_Activity xmlns="cdc7663a-08f0-4737-9e8c-148ce897a09c">Loan Proposal</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5.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5B7B6F18564C7245BA3B24D5D46CD74D" ma:contentTypeVersion="33" ma:contentTypeDescription="A content type to manage public (operations) IDB documents" ma:contentTypeScope="" ma:versionID="ee9c0a156da0d63071ab19aa734d694e">
  <xsd:schema xmlns:xsd="http://www.w3.org/2001/XMLSchema" xmlns:xs="http://www.w3.org/2001/XMLSchema" xmlns:p="http://schemas.microsoft.com/office/2006/metadata/properties" xmlns:ns2="cdc7663a-08f0-4737-9e8c-148ce897a09c" targetNamespace="http://schemas.microsoft.com/office/2006/metadata/properties" ma:root="true" ma:fieldsID="724788c459eff9e7843f05a9b91188c5"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default="SU-L1050"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6.xml><?xml version="1.0" encoding="utf-8"?>
<?mso-contentType ?>
<SharedContentType xmlns="Microsoft.SharePoint.Taxonomy.ContentTypeSync" SourceId="ae61f9b1-e23d-4f49-b3d7-56b991556c4b" ContentTypeId="0x010100ACF722E9F6B0B149B0CD8BE2560A6672" PreviousValue="false"/>
</file>

<file path=customXml/item7.xml><?xml version="1.0" encoding="utf-8"?>
<?mso-contentType ?>
<FormUrls xmlns="http://schemas.microsoft.com/sharepoint/v3/contenttype/forms/url">
  <Display>_catalogs/masterpage/ECMForms/OperationsCT/View.aspx</Display>
  <Edit>_catalogs/masterpage/ECMForms/OperationsCT/Edit.aspx</Edit>
</FormUrls>
</file>

<file path=customXml/item8.xml><?xml version="1.0" encoding="utf-8"?>
<?mso-contentType ?>
<SharedContentType xmlns="Microsoft.SharePoint.Taxonomy.ContentTypeSync" SourceId="ae61f9b1-e23d-4f49-b3d7-56b991556c4b" ContentTypeId="0x0101001A458A224826124E8B45B1D613300CFC" PreviousValue="false"/>
</file>

<file path=customXml/itemProps1.xml><?xml version="1.0" encoding="utf-8"?>
<ds:datastoreItem xmlns:ds="http://schemas.openxmlformats.org/officeDocument/2006/customXml" ds:itemID="{30E4B84C-7840-45E7-9851-474A0B8A6A99}">
  <ds:schemaRefs>
    <ds:schemaRef ds:uri="http://schemas.microsoft.com/sharepoint/v3/contenttype/forms"/>
  </ds:schemaRefs>
</ds:datastoreItem>
</file>

<file path=customXml/itemProps2.xml><?xml version="1.0" encoding="utf-8"?>
<ds:datastoreItem xmlns:ds="http://schemas.openxmlformats.org/officeDocument/2006/customXml" ds:itemID="{D09AAB61-020A-4EE3-A875-446CDA623195}">
  <ds:schemaRefs>
    <ds:schemaRef ds:uri="http://schemas.microsoft.com/sharepoint/v3/contenttype/forms/url"/>
  </ds:schemaRefs>
</ds:datastoreItem>
</file>

<file path=customXml/itemProps3.xml><?xml version="1.0" encoding="utf-8"?>
<ds:datastoreItem xmlns:ds="http://schemas.openxmlformats.org/officeDocument/2006/customXml" ds:itemID="{039D42BD-1DA0-4646-87D3-7391B70109B0}">
  <ds:schemaRefs>
    <ds:schemaRef ds:uri="http://schemas.microsoft.com/sharepoint/events"/>
  </ds:schemaRefs>
</ds:datastoreItem>
</file>

<file path=customXml/itemProps4.xml><?xml version="1.0" encoding="utf-8"?>
<ds:datastoreItem xmlns:ds="http://schemas.openxmlformats.org/officeDocument/2006/customXml" ds:itemID="{BAD25BAE-2591-43FC-B191-E26280D8A976}">
  <ds:schemaRefs>
    <ds:schemaRef ds:uri="http://schemas.microsoft.com/office/2006/metadata/properties"/>
    <ds:schemaRef ds:uri="http://purl.org/dc/terms/"/>
    <ds:schemaRef ds:uri="http://schemas.microsoft.com/office/2006/documentManagement/types"/>
    <ds:schemaRef ds:uri="http://schemas.openxmlformats.org/package/2006/metadata/core-properties"/>
    <ds:schemaRef ds:uri="cdc7663a-08f0-4737-9e8c-148ce897a09c"/>
    <ds:schemaRef ds:uri="http://purl.org/dc/elements/1.1/"/>
    <ds:schemaRef ds:uri="http://schemas.microsoft.com/office/infopath/2007/PartnerControls"/>
    <ds:schemaRef ds:uri="http://www.w3.org/XML/1998/namespace"/>
    <ds:schemaRef ds:uri="http://purl.org/dc/dcmitype/"/>
  </ds:schemaRefs>
</ds:datastoreItem>
</file>

<file path=customXml/itemProps5.xml><?xml version="1.0" encoding="utf-8"?>
<ds:datastoreItem xmlns:ds="http://schemas.openxmlformats.org/officeDocument/2006/customXml" ds:itemID="{03316ED0-4B21-423C-9303-968BE59C0746}"/>
</file>

<file path=customXml/itemProps6.xml><?xml version="1.0" encoding="utf-8"?>
<ds:datastoreItem xmlns:ds="http://schemas.openxmlformats.org/officeDocument/2006/customXml" ds:itemID="{8A861635-5E8A-4D7A-B08F-1665FFF7541D}">
  <ds:schemaRefs>
    <ds:schemaRef ds:uri="Microsoft.SharePoint.Taxonomy.ContentTypeSync"/>
  </ds:schemaRefs>
</ds:datastoreItem>
</file>

<file path=customXml/itemProps7.xml><?xml version="1.0" encoding="utf-8"?>
<ds:datastoreItem xmlns:ds="http://schemas.openxmlformats.org/officeDocument/2006/customXml" ds:itemID="{8A83692F-6EE8-4B98-B98C-1D1E897B82C1}"/>
</file>

<file path=customXml/itemProps8.xml><?xml version="1.0" encoding="utf-8"?>
<ds:datastoreItem xmlns:ds="http://schemas.openxmlformats.org/officeDocument/2006/customXml" ds:itemID="{B0A0F2DB-DEB4-441A-B6AB-5F514D991F9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vt:i4>
      </vt:variant>
    </vt:vector>
  </HeadingPairs>
  <TitlesOfParts>
    <vt:vector size="8" baseType="lpstr">
      <vt:lpstr>1. Detailed Budget POA</vt:lpstr>
      <vt:lpstr>2. Pluriannual Plan PEP</vt:lpstr>
      <vt:lpstr>3. Procurement Plan - PA</vt:lpstr>
      <vt:lpstr>4. Sintetic PA</vt:lpstr>
      <vt:lpstr>5. Budget by Components</vt:lpstr>
      <vt:lpstr>Prices</vt:lpstr>
      <vt:lpstr>6. Budget by Products</vt:lpstr>
      <vt:lpstr>'3. Procurement Plan - PA'!Print_Area</vt:lpstr>
    </vt:vector>
  </TitlesOfParts>
  <Company>TotalCode Software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Diego Reinoso</dc:creator>
  <cp:keywords/>
  <cp:lastModifiedBy>Familia Cracel</cp:lastModifiedBy>
  <cp:lastPrinted>2014-02-14T13:16:39Z</cp:lastPrinted>
  <dcterms:created xsi:type="dcterms:W3CDTF">2013-04-08T21:46:41Z</dcterms:created>
  <dcterms:modified xsi:type="dcterms:W3CDTF">2017-06-02T19:18:19Z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Function Operations IDB">
    <vt:lpwstr>2;#Monitoring and Reporting|df3c2aa1-d63e-41aa-b1f5-bb15dee691ca</vt:lpwstr>
  </property>
  <property fmtid="{D5CDD505-2E9C-101B-9397-08002B2CF9AE}" pid="5" name="TaxKeywordTaxHTField">
    <vt:lpwstr/>
  </property>
  <property fmtid="{D5CDD505-2E9C-101B-9397-08002B2CF9AE}" pid="6" name="Sub-Sector">
    <vt:lpwstr>30;#FISCAL POLICY FOR SUSTAINABILITY AND GROWTH|6e15b5e0-ae82-4b06-920a-eef6dd27cc8b</vt:lpwstr>
  </property>
  <property fmtid="{D5CDD505-2E9C-101B-9397-08002B2CF9AE}" pid="7" name="Series Operations IDB">
    <vt:lpwstr/>
  </property>
  <property fmtid="{D5CDD505-2E9C-101B-9397-08002B2CF9AE}" pid="8" name="Country">
    <vt:lpwstr>22;#Suriname|78f391d2-6a9c-4a90-96e5-b3c0fdf8e7da</vt:lpwstr>
  </property>
  <property fmtid="{D5CDD505-2E9C-101B-9397-08002B2CF9AE}" pid="9" name="Fund IDB">
    <vt:lpwstr>24;#ORC|c028a4b2-ad8b-4cf4-9cac-a2ae6a778e23</vt:lpwstr>
  </property>
  <property fmtid="{D5CDD505-2E9C-101B-9397-08002B2CF9AE}" pid="10" name="_dlc_DocIdItemGuid">
    <vt:lpwstr>d762e03b-6eec-4591-b31f-2c6eaf0bf117</vt:lpwstr>
  </property>
  <property fmtid="{D5CDD505-2E9C-101B-9397-08002B2CF9AE}" pid="11" name="Sector IDB">
    <vt:lpwstr>29;#REFORM / MODERNIZATION OF THE STATE|c8fda4a7-691a-4c65-b227-9825197b5cd2</vt:lpwstr>
  </property>
  <property fmtid="{D5CDD505-2E9C-101B-9397-08002B2CF9AE}" pid="12" name="ContentTypeId">
    <vt:lpwstr>0x0101001A458A224826124E8B45B1D613300CFC005B7B6F18564C7245BA3B24D5D46CD74D</vt:lpwstr>
  </property>
</Properties>
</file>